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tables/table5.xml" ContentType="application/vnd.openxmlformats-officedocument.spreadsheetml.table+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tables/table6.xml" ContentType="application/vnd.openxmlformats-officedocument.spreadsheetml.table+xml"/>
  <Override PartName="/xl/comments4.xml" ContentType="application/vnd.openxmlformats-officedocument.spreadsheetml.comments+xml"/>
  <Override PartName="/xl/tables/table7.xml" ContentType="application/vnd.openxmlformats-officedocument.spreadsheetml.table+xml"/>
  <Override PartName="/xl/comments5.xml" ContentType="application/vnd.openxmlformats-officedocument.spreadsheetml.comments+xml"/>
  <Override PartName="/xl/drawings/drawing4.xml" ContentType="application/vnd.openxmlformats-officedocument.drawing+xml"/>
  <Override PartName="/xl/tables/table8.xml" ContentType="application/vnd.openxmlformats-officedocument.spreadsheetml.table+xml"/>
  <Override PartName="/xl/charts/chart1.xml" ContentType="application/vnd.openxmlformats-officedocument.drawingml.chart+xml"/>
  <Override PartName="/xl/drawings/drawing5.xml" ContentType="application/vnd.openxmlformats-officedocument.drawing+xml"/>
  <Override PartName="/xl/tables/table9.xml" ContentType="application/vnd.openxmlformats-officedocument.spreadsheetml.table+xml"/>
  <Override PartName="/xl/tables/table10.xml" ContentType="application/vnd.openxmlformats-officedocument.spreadsheetml.table+xml"/>
  <Override PartName="/xl/charts/chart2.xml" ContentType="application/vnd.openxmlformats-officedocument.drawingml.chart+xml"/>
  <Override PartName="/xl/charts/chart3.xml" ContentType="application/vnd.openxmlformats-officedocument.drawingml.chart+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d.docs.live.net/a4401eabd06af008/바탕 화면/김희연.포폴/assets/excel/"/>
    </mc:Choice>
  </mc:AlternateContent>
  <xr:revisionPtr revIDLastSave="2" documentId="11_7302BDA3B51E13E55A8AF26268AEF69D11D67D0D" xr6:coauthVersionLast="47" xr6:coauthVersionMax="47" xr10:uidLastSave="{D3BA12C2-36C2-451B-9DA8-38904C4A9AAF}"/>
  <bookViews>
    <workbookView xWindow="-108" yWindow="-108" windowWidth="23256" windowHeight="12456" xr2:uid="{00000000-000D-0000-FFFF-FFFF00000000}"/>
  </bookViews>
  <sheets>
    <sheet name="재무상태표" sheetId="1" r:id="rId1"/>
    <sheet name="포괄손익계산서" sheetId="2" r:id="rId2"/>
    <sheet name="현금흐름표" sheetId="3" r:id="rId3"/>
    <sheet name="FCFE" sheetId="4" r:id="rId4"/>
    <sheet name="To-do List" sheetId="5" r:id="rId5"/>
    <sheet name="밸류체인 밑그림 + 메자닌 리포트 방향성" sheetId="6" r:id="rId6"/>
    <sheet name="피드백" sheetId="7" r:id="rId7"/>
    <sheet name="비용파트" sheetId="8" r:id="rId8"/>
    <sheet name="매출액 추정" sheetId="9" r:id="rId9"/>
    <sheet name="3년치 수주 계약" sheetId="10" r:id="rId10"/>
    <sheet name="진행률 자료(사용x)" sheetId="11" r:id="rId11"/>
    <sheet name="동종기업 2025 수주표" sheetId="12" r:id="rId12"/>
    <sheet name="차트1 선종별 매출액 대비 주요 항목 비중 비교" sheetId="13" r:id="rId13"/>
    <sheet name="멀티플" sheetId="14" r:id="rId14"/>
    <sheet name="차트1 2025년 세계 조선업계 선박 수주 점유율 (CG"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2" i="14" l="1"/>
  <c r="L11" i="14"/>
  <c r="J11" i="14"/>
  <c r="L10" i="14"/>
  <c r="J10" i="14"/>
  <c r="L9" i="14"/>
  <c r="L12" i="14" s="1"/>
  <c r="J9" i="14"/>
  <c r="J12" i="14" s="1"/>
  <c r="I148" i="11"/>
  <c r="I147" i="11"/>
  <c r="I146" i="11"/>
  <c r="I145" i="11"/>
  <c r="I144" i="11"/>
  <c r="I143" i="11"/>
  <c r="I142" i="11"/>
  <c r="I141" i="11"/>
  <c r="I138" i="11"/>
  <c r="I137" i="11"/>
  <c r="I136" i="11"/>
  <c r="I129" i="11"/>
  <c r="I128" i="11"/>
  <c r="I127" i="11"/>
  <c r="I122" i="11"/>
  <c r="I117" i="11"/>
  <c r="N99" i="11" s="1"/>
  <c r="I115" i="11"/>
  <c r="M100" i="11"/>
  <c r="M99" i="11"/>
  <c r="L99" i="11"/>
  <c r="L100" i="11" s="1"/>
  <c r="K99" i="11"/>
  <c r="K100" i="11" s="1"/>
  <c r="M94" i="11"/>
  <c r="L94" i="11"/>
  <c r="K94" i="11"/>
  <c r="M95" i="11" s="1"/>
  <c r="E72" i="10"/>
  <c r="J64" i="10"/>
  <c r="L53" i="10"/>
  <c r="K53" i="10"/>
  <c r="L52" i="10"/>
  <c r="L51" i="10"/>
  <c r="I48" i="10"/>
  <c r="L47" i="10"/>
  <c r="I47" i="10"/>
  <c r="I46" i="10"/>
  <c r="I45" i="10"/>
  <c r="L44" i="10"/>
  <c r="I44" i="10"/>
  <c r="I43" i="10"/>
  <c r="I27" i="10" s="1"/>
  <c r="I42" i="10"/>
  <c r="K37" i="10"/>
  <c r="I36" i="10"/>
  <c r="L35" i="10"/>
  <c r="I35" i="10"/>
  <c r="L34" i="10"/>
  <c r="I34" i="10"/>
  <c r="L33" i="10"/>
  <c r="I33" i="10"/>
  <c r="L32" i="10"/>
  <c r="I32" i="10"/>
  <c r="L31" i="10"/>
  <c r="I31" i="10"/>
  <c r="I30" i="10"/>
  <c r="L29" i="10"/>
  <c r="I29" i="10"/>
  <c r="L28" i="10"/>
  <c r="L27" i="10"/>
  <c r="L37" i="10" s="1"/>
  <c r="I26" i="10"/>
  <c r="G21" i="10"/>
  <c r="I21" i="10" s="1"/>
  <c r="I20" i="10"/>
  <c r="G20" i="10"/>
  <c r="I19" i="10"/>
  <c r="L18" i="10"/>
  <c r="K18" i="10"/>
  <c r="I18" i="10"/>
  <c r="I17" i="10"/>
  <c r="I16" i="10"/>
  <c r="I15" i="10"/>
  <c r="I14" i="10"/>
  <c r="I13" i="10"/>
  <c r="I12" i="10"/>
  <c r="I11" i="10"/>
  <c r="L10" i="10"/>
  <c r="G10" i="10"/>
  <c r="I10" i="10" s="1"/>
  <c r="L9" i="10"/>
  <c r="I9" i="10"/>
  <c r="L8" i="10"/>
  <c r="I8" i="10"/>
  <c r="L7" i="10"/>
  <c r="I7" i="10"/>
  <c r="E52" i="10" s="1"/>
  <c r="I6" i="10"/>
  <c r="F6" i="10"/>
  <c r="N108" i="9"/>
  <c r="N107" i="9"/>
  <c r="N106" i="9"/>
  <c r="P102" i="9"/>
  <c r="O102" i="9"/>
  <c r="P101" i="9"/>
  <c r="O101" i="9"/>
  <c r="O100" i="9"/>
  <c r="P100" i="9" s="1"/>
  <c r="E100" i="9"/>
  <c r="O99" i="9"/>
  <c r="P99" i="9" s="1"/>
  <c r="P98" i="9"/>
  <c r="O98" i="9"/>
  <c r="O94" i="9"/>
  <c r="P94" i="9" s="1"/>
  <c r="O93" i="9"/>
  <c r="P93" i="9" s="1"/>
  <c r="P92" i="9"/>
  <c r="O92" i="9"/>
  <c r="P91" i="9"/>
  <c r="O91" i="9"/>
  <c r="F91" i="9"/>
  <c r="E91" i="9"/>
  <c r="E94" i="9" s="1"/>
  <c r="E95" i="9" s="1"/>
  <c r="D91" i="9"/>
  <c r="O90" i="9"/>
  <c r="P90" i="9" s="1"/>
  <c r="P89" i="9"/>
  <c r="O89" i="9"/>
  <c r="O85" i="9"/>
  <c r="P85" i="9" s="1"/>
  <c r="F85" i="9"/>
  <c r="E85" i="9"/>
  <c r="E88" i="9" s="1"/>
  <c r="E89" i="9" s="1"/>
  <c r="D85" i="9"/>
  <c r="P84" i="9"/>
  <c r="O84" i="9"/>
  <c r="O83" i="9"/>
  <c r="P83" i="9" s="1"/>
  <c r="P82" i="9"/>
  <c r="O82" i="9"/>
  <c r="O81" i="9"/>
  <c r="P81" i="9" s="1"/>
  <c r="P80" i="9"/>
  <c r="O80" i="9"/>
  <c r="O79" i="9"/>
  <c r="P79" i="9" s="1"/>
  <c r="P78" i="9"/>
  <c r="O78" i="9"/>
  <c r="O77" i="9"/>
  <c r="P77" i="9" s="1"/>
  <c r="P73" i="9"/>
  <c r="O73" i="9"/>
  <c r="O72" i="9"/>
  <c r="P72" i="9" s="1"/>
  <c r="P71" i="9"/>
  <c r="O71" i="9"/>
  <c r="O70" i="9"/>
  <c r="P70" i="9" s="1"/>
  <c r="P69" i="9"/>
  <c r="O69" i="9"/>
  <c r="O68" i="9"/>
  <c r="P68" i="9" s="1"/>
  <c r="P67" i="9"/>
  <c r="O67" i="9"/>
  <c r="O66" i="9"/>
  <c r="P66" i="9" s="1"/>
  <c r="P62" i="9"/>
  <c r="O62" i="9"/>
  <c r="O61" i="9"/>
  <c r="P61" i="9" s="1"/>
  <c r="P60" i="9"/>
  <c r="O60" i="9"/>
  <c r="O59" i="9"/>
  <c r="P59" i="9" s="1"/>
  <c r="P58" i="9"/>
  <c r="O58" i="9"/>
  <c r="O57" i="9"/>
  <c r="P57" i="9" s="1"/>
  <c r="P56" i="9"/>
  <c r="O56" i="9"/>
  <c r="D48" i="9"/>
  <c r="C48" i="9"/>
  <c r="N47" i="9"/>
  <c r="M47" i="9"/>
  <c r="L47" i="9"/>
  <c r="E47" i="9"/>
  <c r="F47" i="9" s="1"/>
  <c r="G47" i="9" s="1"/>
  <c r="S46" i="9"/>
  <c r="R46" i="9"/>
  <c r="Q46" i="9"/>
  <c r="N46" i="9"/>
  <c r="M46" i="9"/>
  <c r="L46" i="9"/>
  <c r="C25" i="9" s="1"/>
  <c r="E46" i="9"/>
  <c r="E48" i="9" s="1"/>
  <c r="G6" i="9" s="1"/>
  <c r="S45" i="9"/>
  <c r="R45" i="9"/>
  <c r="Q45" i="9"/>
  <c r="G45" i="9"/>
  <c r="F45" i="9"/>
  <c r="N44" i="9"/>
  <c r="M44" i="9"/>
  <c r="L44" i="9"/>
  <c r="S43" i="9"/>
  <c r="R43" i="9"/>
  <c r="Q43" i="9"/>
  <c r="N43" i="9"/>
  <c r="M43" i="9"/>
  <c r="L43" i="9"/>
  <c r="L39" i="9"/>
  <c r="S38" i="9"/>
  <c r="R38" i="9"/>
  <c r="Q38" i="9"/>
  <c r="L38" i="9"/>
  <c r="S37" i="9"/>
  <c r="R37" i="9"/>
  <c r="Q37" i="9"/>
  <c r="M37" i="9"/>
  <c r="D23" i="9" s="1"/>
  <c r="L37" i="9"/>
  <c r="C23" i="9" s="1"/>
  <c r="C27" i="9" s="1"/>
  <c r="G5" i="9" s="1"/>
  <c r="S36" i="9"/>
  <c r="R36" i="9"/>
  <c r="Q36" i="9"/>
  <c r="M36" i="9"/>
  <c r="L36" i="9"/>
  <c r="S35" i="9"/>
  <c r="R35" i="9"/>
  <c r="Q35" i="9"/>
  <c r="S34" i="9"/>
  <c r="R34" i="9"/>
  <c r="Q34" i="9"/>
  <c r="M34" i="9"/>
  <c r="L34" i="9"/>
  <c r="F33" i="9"/>
  <c r="D24" i="9" s="1"/>
  <c r="E33" i="9"/>
  <c r="D33" i="9"/>
  <c r="C33" i="9"/>
  <c r="B33" i="9"/>
  <c r="E26" i="9"/>
  <c r="D26" i="9"/>
  <c r="C26" i="9"/>
  <c r="D25" i="9"/>
  <c r="C24" i="9"/>
  <c r="P18" i="9"/>
  <c r="O18" i="9"/>
  <c r="N18" i="9"/>
  <c r="M18" i="9"/>
  <c r="L18" i="9"/>
  <c r="G18" i="9"/>
  <c r="F18" i="9"/>
  <c r="E18" i="9"/>
  <c r="D18" i="9"/>
  <c r="C18" i="9"/>
  <c r="I16" i="9"/>
  <c r="I15" i="9"/>
  <c r="I14" i="9"/>
  <c r="M39" i="9" s="1"/>
  <c r="H14" i="9"/>
  <c r="H18" i="9" s="1"/>
  <c r="F10" i="9"/>
  <c r="E10" i="9"/>
  <c r="C10" i="9"/>
  <c r="J28" i="1" s="1"/>
  <c r="F124" i="8"/>
  <c r="E124" i="8"/>
  <c r="E123" i="8"/>
  <c r="E122" i="8"/>
  <c r="J121" i="8"/>
  <c r="I110" i="8" s="1"/>
  <c r="H116" i="8"/>
  <c r="I109" i="8"/>
  <c r="J109" i="8" s="1"/>
  <c r="I108" i="8"/>
  <c r="J108" i="8" s="1"/>
  <c r="F103" i="8"/>
  <c r="F104" i="8" s="1"/>
  <c r="E103" i="8"/>
  <c r="E104" i="8" s="1"/>
  <c r="G102" i="8"/>
  <c r="F102" i="8"/>
  <c r="E102" i="8"/>
  <c r="D102" i="8"/>
  <c r="H102" i="8" s="1"/>
  <c r="G101" i="8"/>
  <c r="G103" i="8" s="1"/>
  <c r="G104" i="8" s="1"/>
  <c r="F101" i="8"/>
  <c r="E101" i="8"/>
  <c r="D101" i="8"/>
  <c r="D103" i="8" s="1"/>
  <c r="D104" i="8" s="1"/>
  <c r="G100" i="8"/>
  <c r="G49" i="8"/>
  <c r="L35" i="8"/>
  <c r="K35" i="8"/>
  <c r="J35" i="8"/>
  <c r="L34" i="8"/>
  <c r="K34" i="8"/>
  <c r="J34" i="8"/>
  <c r="L33" i="8"/>
  <c r="J33" i="8"/>
  <c r="K33" i="8" s="1"/>
  <c r="L32" i="8"/>
  <c r="L37" i="8" s="1"/>
  <c r="K32" i="8"/>
  <c r="J32" i="8"/>
  <c r="D29" i="8"/>
  <c r="D28" i="8"/>
  <c r="D120" i="5"/>
  <c r="B107" i="5"/>
  <c r="F27" i="4"/>
  <c r="E27" i="4"/>
  <c r="D27" i="4"/>
  <c r="C27" i="4"/>
  <c r="D26" i="4"/>
  <c r="C26" i="4"/>
  <c r="C25" i="4"/>
  <c r="E15" i="4"/>
  <c r="E8" i="4"/>
  <c r="E9" i="4" s="1"/>
  <c r="F4" i="4"/>
  <c r="E4" i="4"/>
  <c r="D4" i="4"/>
  <c r="E64" i="1" s="1"/>
  <c r="F3" i="4"/>
  <c r="F26" i="4" s="1"/>
  <c r="E3" i="4"/>
  <c r="E26" i="4" s="1"/>
  <c r="D3" i="4"/>
  <c r="L24" i="3"/>
  <c r="K24" i="3"/>
  <c r="E19" i="3"/>
  <c r="G13" i="3"/>
  <c r="F13" i="3"/>
  <c r="E13" i="3"/>
  <c r="G9" i="3"/>
  <c r="F9" i="3"/>
  <c r="E9" i="3"/>
  <c r="J8" i="3"/>
  <c r="G7" i="3" s="1"/>
  <c r="E7" i="3"/>
  <c r="I6" i="3"/>
  <c r="G6" i="3" s="1"/>
  <c r="I5" i="3"/>
  <c r="D38" i="2"/>
  <c r="D37" i="2"/>
  <c r="E37" i="2" s="1"/>
  <c r="F37" i="2" s="1"/>
  <c r="G37" i="2" s="1"/>
  <c r="D35" i="2"/>
  <c r="D33" i="2"/>
  <c r="G32" i="2"/>
  <c r="G11" i="2" s="1"/>
  <c r="F32" i="2"/>
  <c r="F11" i="2" s="1"/>
  <c r="E32" i="2"/>
  <c r="E26" i="2"/>
  <c r="E7" i="2" s="1"/>
  <c r="D25" i="2"/>
  <c r="D27" i="2" s="1"/>
  <c r="D8" i="2" s="1"/>
  <c r="D17" i="2"/>
  <c r="D16" i="2"/>
  <c r="D13" i="2"/>
  <c r="E11" i="2"/>
  <c r="D11" i="2"/>
  <c r="D9" i="2"/>
  <c r="D7" i="2"/>
  <c r="D6" i="2"/>
  <c r="D5" i="2"/>
  <c r="D3" i="2"/>
  <c r="D4" i="2" s="1"/>
  <c r="M82" i="1"/>
  <c r="M81" i="1"/>
  <c r="E79" i="1" s="1"/>
  <c r="E22" i="1" s="1"/>
  <c r="F75" i="1"/>
  <c r="E75" i="1"/>
  <c r="Q71" i="1"/>
  <c r="F67" i="1"/>
  <c r="G67" i="1" s="1"/>
  <c r="E67" i="1"/>
  <c r="G65" i="1"/>
  <c r="F65" i="1"/>
  <c r="E65" i="1"/>
  <c r="E63" i="1"/>
  <c r="G57" i="1"/>
  <c r="F57" i="1"/>
  <c r="E57" i="1"/>
  <c r="N54" i="1"/>
  <c r="O54" i="1" s="1"/>
  <c r="M54" i="1"/>
  <c r="L54" i="1"/>
  <c r="N53" i="1"/>
  <c r="N52" i="1"/>
  <c r="Z47" i="1"/>
  <c r="X47" i="1"/>
  <c r="E44" i="1" s="1"/>
  <c r="S47" i="1"/>
  <c r="U47" i="1" s="1"/>
  <c r="R47" i="1"/>
  <c r="Q47" i="1"/>
  <c r="P47" i="1"/>
  <c r="O47" i="1"/>
  <c r="L47" i="1"/>
  <c r="Y46" i="1"/>
  <c r="Y47" i="1" s="1"/>
  <c r="X46" i="1"/>
  <c r="Z45" i="1"/>
  <c r="Y45" i="1"/>
  <c r="X45" i="1"/>
  <c r="E40" i="1"/>
  <c r="F40" i="1" s="1"/>
  <c r="G40" i="1" s="1"/>
  <c r="G9" i="1" s="1"/>
  <c r="G39" i="1"/>
  <c r="F39" i="1"/>
  <c r="E39" i="1"/>
  <c r="G34" i="1"/>
  <c r="G6" i="1" s="1"/>
  <c r="F34" i="1"/>
  <c r="E34" i="1"/>
  <c r="K28" i="1"/>
  <c r="D23" i="1"/>
  <c r="D22" i="1"/>
  <c r="D21" i="1"/>
  <c r="G20" i="1"/>
  <c r="F20" i="1"/>
  <c r="E20" i="1"/>
  <c r="D20" i="1"/>
  <c r="G19" i="1"/>
  <c r="F19" i="1"/>
  <c r="E19" i="1"/>
  <c r="D19" i="1"/>
  <c r="D18" i="1"/>
  <c r="D17" i="1"/>
  <c r="D16" i="1"/>
  <c r="E15" i="1"/>
  <c r="D15" i="1"/>
  <c r="D14" i="1"/>
  <c r="D13" i="1"/>
  <c r="D12" i="1"/>
  <c r="D11" i="1"/>
  <c r="D10" i="1"/>
  <c r="D9" i="1"/>
  <c r="D8" i="1"/>
  <c r="D7" i="1"/>
  <c r="F6" i="1"/>
  <c r="E6" i="1"/>
  <c r="D6" i="1"/>
  <c r="D5" i="1"/>
  <c r="D4" i="1"/>
  <c r="D3" i="1"/>
  <c r="E8" i="1" l="1"/>
  <c r="E5" i="3"/>
  <c r="E70" i="1"/>
  <c r="F44" i="1"/>
  <c r="D46" i="2"/>
  <c r="D48" i="2" s="1"/>
  <c r="D4" i="3"/>
  <c r="H104" i="8"/>
  <c r="N48" i="9"/>
  <c r="M48" i="9"/>
  <c r="L48" i="9"/>
  <c r="E25" i="9" s="1"/>
  <c r="O100" i="11"/>
  <c r="N100" i="11"/>
  <c r="E9" i="1"/>
  <c r="F63" i="1"/>
  <c r="F79" i="1"/>
  <c r="D88" i="9"/>
  <c r="D89" i="9" s="1"/>
  <c r="L28" i="1"/>
  <c r="J30" i="1" s="1"/>
  <c r="D94" i="9"/>
  <c r="D95" i="9" s="1"/>
  <c r="D100" i="9"/>
  <c r="F9" i="1"/>
  <c r="C24" i="4"/>
  <c r="C30" i="4" s="1"/>
  <c r="H101" i="8"/>
  <c r="G10" i="9"/>
  <c r="F52" i="10"/>
  <c r="P100" i="11"/>
  <c r="D18" i="2"/>
  <c r="D19" i="2" s="1"/>
  <c r="G33" i="9"/>
  <c r="D27" i="9"/>
  <c r="H5" i="9" s="1"/>
  <c r="G75" i="1"/>
  <c r="F88" i="9"/>
  <c r="F89" i="9" s="1"/>
  <c r="F94" i="9"/>
  <c r="F95" i="9" s="1"/>
  <c r="F100" i="9"/>
  <c r="F6" i="3"/>
  <c r="E6" i="3"/>
  <c r="I18" i="9"/>
  <c r="D12" i="2"/>
  <c r="D14" i="2" s="1"/>
  <c r="D15" i="2" s="1"/>
  <c r="D10" i="2"/>
  <c r="F64" i="1"/>
  <c r="E16" i="1"/>
  <c r="Q39" i="9"/>
  <c r="E24" i="9" s="1"/>
  <c r="R39" i="9"/>
  <c r="S39" i="9"/>
  <c r="F48" i="9"/>
  <c r="H6" i="9" s="1"/>
  <c r="M38" i="9"/>
  <c r="E23" i="9" s="1"/>
  <c r="F46" i="9"/>
  <c r="G46" i="9" s="1"/>
  <c r="G48" i="9" s="1"/>
  <c r="I6" i="9" s="1"/>
  <c r="L95" i="11"/>
  <c r="F7" i="3"/>
  <c r="H93" i="9" l="1"/>
  <c r="E58" i="1" s="1"/>
  <c r="G99" i="9"/>
  <c r="E41" i="1" s="1"/>
  <c r="H87" i="9"/>
  <c r="E31" i="1" s="1"/>
  <c r="F3" i="8"/>
  <c r="E23" i="2"/>
  <c r="G63" i="1"/>
  <c r="F15" i="1"/>
  <c r="H10" i="9"/>
  <c r="L5" i="9"/>
  <c r="F22" i="1"/>
  <c r="G79" i="1"/>
  <c r="G22" i="1" s="1"/>
  <c r="F5" i="3"/>
  <c r="E25" i="4" s="1"/>
  <c r="F8" i="1"/>
  <c r="G44" i="1"/>
  <c r="G64" i="1"/>
  <c r="G16" i="1" s="1"/>
  <c r="F16" i="1"/>
  <c r="I100" i="9"/>
  <c r="G100" i="9"/>
  <c r="H100" i="9"/>
  <c r="F70" i="1"/>
  <c r="E27" i="9"/>
  <c r="I5" i="9" s="1"/>
  <c r="D25" i="4"/>
  <c r="I10" i="9" l="1"/>
  <c r="G15" i="1"/>
  <c r="E3" i="8"/>
  <c r="I93" i="9"/>
  <c r="F58" i="1" s="1"/>
  <c r="H99" i="9"/>
  <c r="F41" i="1" s="1"/>
  <c r="I87" i="9"/>
  <c r="F31" i="1" s="1"/>
  <c r="F23" i="2"/>
  <c r="G5" i="3"/>
  <c r="F25" i="4" s="1"/>
  <c r="G8" i="1"/>
  <c r="G70" i="1"/>
  <c r="E59" i="1"/>
  <c r="E30" i="1"/>
  <c r="E3" i="2"/>
  <c r="E4" i="2" s="1"/>
  <c r="E52" i="1"/>
  <c r="E60" i="1"/>
  <c r="F60" i="1" s="1"/>
  <c r="E35" i="1"/>
  <c r="E36" i="1"/>
  <c r="E47" i="1"/>
  <c r="E61" i="1"/>
  <c r="E66" i="1"/>
  <c r="E62" i="1" s="1"/>
  <c r="E14" i="1" s="1"/>
  <c r="F5" i="8"/>
  <c r="E5" i="8" s="1"/>
  <c r="D5" i="8" s="1"/>
  <c r="F7" i="8"/>
  <c r="F6" i="8"/>
  <c r="E6" i="8" s="1"/>
  <c r="D6" i="8" s="1"/>
  <c r="F4" i="8"/>
  <c r="M5" i="9"/>
  <c r="E38" i="1"/>
  <c r="E7" i="1" s="1"/>
  <c r="G60" i="1" l="1"/>
  <c r="I111" i="8"/>
  <c r="I116" i="8" s="1"/>
  <c r="F26" i="2" s="1"/>
  <c r="F7" i="2" s="1"/>
  <c r="F3" i="2"/>
  <c r="F4" i="2" s="1"/>
  <c r="F52" i="1"/>
  <c r="I114" i="8"/>
  <c r="J114" i="8" s="1"/>
  <c r="I112" i="8"/>
  <c r="F35" i="1"/>
  <c r="I115" i="8"/>
  <c r="J115" i="8" s="1"/>
  <c r="F30" i="1"/>
  <c r="I113" i="8"/>
  <c r="F36" i="1"/>
  <c r="F66" i="1"/>
  <c r="F62" i="1" s="1"/>
  <c r="F14" i="1" s="1"/>
  <c r="E13" i="1"/>
  <c r="F38" i="1"/>
  <c r="F7" i="1" s="1"/>
  <c r="I99" i="9"/>
  <c r="G41" i="1" s="1"/>
  <c r="D3" i="8"/>
  <c r="J87" i="9"/>
  <c r="G31" i="1" s="1"/>
  <c r="J93" i="9"/>
  <c r="G58" i="1" s="1"/>
  <c r="G23" i="2"/>
  <c r="N5" i="9"/>
  <c r="F8" i="8"/>
  <c r="E8" i="8" s="1"/>
  <c r="E7" i="8"/>
  <c r="D7" i="8" s="1"/>
  <c r="F9" i="8"/>
  <c r="E9" i="8" s="1"/>
  <c r="D9" i="8" s="1"/>
  <c r="F61" i="1"/>
  <c r="E5" i="1"/>
  <c r="F47" i="1"/>
  <c r="G47" i="1" s="1"/>
  <c r="E4" i="8"/>
  <c r="E10" i="8" l="1"/>
  <c r="F24" i="2" s="1"/>
  <c r="D4" i="8"/>
  <c r="D10" i="8" s="1"/>
  <c r="G24" i="2" s="1"/>
  <c r="F10" i="8"/>
  <c r="E24" i="2" s="1"/>
  <c r="D8" i="8"/>
  <c r="G66" i="1"/>
  <c r="G62" i="1" s="1"/>
  <c r="G14" i="1" s="1"/>
  <c r="G36" i="1"/>
  <c r="G25" i="2"/>
  <c r="J111" i="8"/>
  <c r="J116" i="8" s="1"/>
  <c r="G26" i="2" s="1"/>
  <c r="G7" i="2" s="1"/>
  <c r="G59" i="1"/>
  <c r="G30" i="1"/>
  <c r="G3" i="2"/>
  <c r="G4" i="2" s="1"/>
  <c r="G52" i="1"/>
  <c r="G35" i="1"/>
  <c r="J112" i="8"/>
  <c r="F13" i="1"/>
  <c r="G61" i="1"/>
  <c r="J113" i="8"/>
  <c r="G38" i="1"/>
  <c r="G7" i="1" s="1"/>
  <c r="F5" i="1"/>
  <c r="G27" i="2" l="1"/>
  <c r="G6" i="2"/>
  <c r="F28" i="4"/>
  <c r="G13" i="1"/>
  <c r="G51" i="1"/>
  <c r="E5" i="2"/>
  <c r="E54" i="1"/>
  <c r="E25" i="2"/>
  <c r="G5" i="2"/>
  <c r="G54" i="1"/>
  <c r="G12" i="1" s="1"/>
  <c r="F29" i="4"/>
  <c r="G5" i="1"/>
  <c r="F5" i="2"/>
  <c r="F54" i="1"/>
  <c r="F25" i="2"/>
  <c r="E27" i="2" l="1"/>
  <c r="E6" i="2"/>
  <c r="E12" i="1"/>
  <c r="E51" i="1"/>
  <c r="D29" i="4"/>
  <c r="D28" i="4"/>
  <c r="F27" i="2"/>
  <c r="F6" i="2"/>
  <c r="F12" i="1"/>
  <c r="F51" i="1"/>
  <c r="E29" i="4"/>
  <c r="E28" i="4"/>
  <c r="G71" i="1"/>
  <c r="G11" i="1"/>
  <c r="G33" i="2"/>
  <c r="G8" i="2"/>
  <c r="G17" i="1" l="1"/>
  <c r="F71" i="1"/>
  <c r="F11" i="1"/>
  <c r="E33" i="2"/>
  <c r="E8" i="2"/>
  <c r="G9" i="2"/>
  <c r="G10" i="2"/>
  <c r="G12" i="2"/>
  <c r="G14" i="2" s="1"/>
  <c r="G15" i="2" s="1"/>
  <c r="G35" i="2"/>
  <c r="G34" i="2"/>
  <c r="G13" i="2" s="1"/>
  <c r="F33" i="2"/>
  <c r="F8" i="2"/>
  <c r="E71" i="1"/>
  <c r="E11" i="1"/>
  <c r="E9" i="2" l="1"/>
  <c r="E12" i="2"/>
  <c r="E10" i="2"/>
  <c r="F9" i="2"/>
  <c r="F12" i="2"/>
  <c r="F14" i="2" s="1"/>
  <c r="F15" i="2" s="1"/>
  <c r="F10" i="2"/>
  <c r="E34" i="2"/>
  <c r="E13" i="2" s="1"/>
  <c r="F34" i="2"/>
  <c r="F13" i="2" s="1"/>
  <c r="E17" i="1"/>
  <c r="F17" i="1"/>
  <c r="F24" i="4"/>
  <c r="F30" i="4" s="1"/>
  <c r="G36" i="2"/>
  <c r="G16" i="2" s="1"/>
  <c r="G4" i="3"/>
  <c r="G3" i="3" s="1"/>
  <c r="G18" i="3" s="1"/>
  <c r="E35" i="2" l="1"/>
  <c r="E14" i="2"/>
  <c r="E15" i="2" s="1"/>
  <c r="F35" i="2"/>
  <c r="E24" i="4" l="1"/>
  <c r="E30" i="4" s="1"/>
  <c r="F36" i="2"/>
  <c r="F16" i="2" s="1"/>
  <c r="F4" i="3"/>
  <c r="F3" i="3" s="1"/>
  <c r="F18" i="3" s="1"/>
  <c r="E36" i="2"/>
  <c r="E4" i="3"/>
  <c r="E3" i="3" s="1"/>
  <c r="E18" i="3" s="1"/>
  <c r="E20" i="3" s="1"/>
  <c r="D24" i="4"/>
  <c r="D30" i="4" s="1"/>
  <c r="E28" i="1" l="1"/>
  <c r="F19" i="3"/>
  <c r="F20" i="3"/>
  <c r="E78" i="1"/>
  <c r="E16" i="2"/>
  <c r="F78" i="1" l="1"/>
  <c r="E21" i="1"/>
  <c r="E72" i="1"/>
  <c r="F28" i="1"/>
  <c r="G19" i="3"/>
  <c r="G20" i="3" s="1"/>
  <c r="G28" i="1" s="1"/>
  <c r="E4" i="1"/>
  <c r="E27" i="1"/>
  <c r="E50" i="1" l="1"/>
  <c r="E3" i="1"/>
  <c r="G27" i="1"/>
  <c r="G4" i="1"/>
  <c r="F27" i="1"/>
  <c r="F4" i="1"/>
  <c r="G78" i="1"/>
  <c r="F21" i="1"/>
  <c r="F72" i="1"/>
  <c r="E18" i="1"/>
  <c r="E80" i="1"/>
  <c r="G21" i="1" l="1"/>
  <c r="G72" i="1"/>
  <c r="E23" i="1"/>
  <c r="E81" i="1"/>
  <c r="F50" i="1"/>
  <c r="F3" i="1"/>
  <c r="G50" i="1"/>
  <c r="G3" i="1"/>
  <c r="F80" i="1"/>
  <c r="F18" i="1"/>
  <c r="E10" i="1"/>
  <c r="E44" i="2"/>
  <c r="E38" i="2" s="1"/>
  <c r="G44" i="2" l="1"/>
  <c r="G38" i="2" s="1"/>
  <c r="G10" i="1"/>
  <c r="F10" i="1"/>
  <c r="F44" i="2"/>
  <c r="F38" i="2" s="1"/>
  <c r="G80" i="1"/>
  <c r="G18" i="1"/>
  <c r="E17" i="2"/>
  <c r="E18" i="2" s="1"/>
  <c r="E19" i="2" s="1"/>
  <c r="E46" i="2"/>
  <c r="E48" i="2" s="1"/>
  <c r="F23" i="1"/>
  <c r="F81" i="1"/>
  <c r="F17" i="2" l="1"/>
  <c r="F18" i="2" s="1"/>
  <c r="F19" i="2" s="1"/>
  <c r="F46" i="2"/>
  <c r="F48" i="2" s="1"/>
  <c r="G23" i="1"/>
  <c r="G81" i="1"/>
  <c r="G17" i="2"/>
  <c r="G18" i="2" s="1"/>
  <c r="G19" i="2" s="1"/>
  <c r="G46" i="2"/>
  <c r="G48"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29" authorId="0" shapeId="0" xr:uid="{00000000-0006-0000-0000-000001000000}">
      <text>
        <r>
          <rPr>
            <sz val="10"/>
            <color rgb="FF000000"/>
            <rFont val="Arial"/>
            <family val="2"/>
            <scheme val="minor"/>
          </rPr>
          <t>환헤지로인한 것들을 제외한 순수 금융자산이다. 유동자산 대비 금액이 0.5%도 안 되는 작은 수치이기 때문에 성장률은 0으로 가정한다.</t>
        </r>
      </text>
    </comment>
    <comment ref="C30" authorId="0" shapeId="0" xr:uid="{00000000-0006-0000-0000-000002000000}">
      <text>
        <r>
          <rPr>
            <sz val="10"/>
            <color rgb="FF000000"/>
            <rFont val="Arial"/>
            <family val="2"/>
            <scheme val="minor"/>
          </rPr>
          <t xml:space="preserve">일반적인 제조업이나 상거래기업이라면 회전율을 이용해서 구하겠지만, 제품의 생산주기가 길고 그에따른 진행률도 고려해야하는 조선업에서는 회전율로 분석하는 것이 적절하지 않다.
따라서 과거 3년치 매출액 대비 매출채권 비율을 쓰기로 하였다.
</t>
        </r>
      </text>
    </comment>
    <comment ref="C31" authorId="0" shapeId="0" xr:uid="{00000000-0006-0000-0000-000003000000}">
      <text>
        <r>
          <rPr>
            <sz val="10"/>
            <color rgb="FF000000"/>
            <rFont val="Arial"/>
            <family val="2"/>
            <scheme val="minor"/>
          </rPr>
          <t xml:space="preserve">계약자산 회전율로 구함
</t>
        </r>
      </text>
    </comment>
    <comment ref="C32" authorId="0" shapeId="0" xr:uid="{00000000-0006-0000-0000-000004000000}">
      <text>
        <r>
          <rPr>
            <sz val="10"/>
            <color rgb="FF000000"/>
            <rFont val="Arial"/>
            <family val="2"/>
            <scheme val="minor"/>
          </rPr>
          <t>공정가치위험회피대상이 존재하지 않음.
22년부터 꾸준히 증가했는데 그것은 환율 상승의 효과임.</t>
        </r>
      </text>
    </comment>
    <comment ref="C34" authorId="0" shapeId="0" xr:uid="{00000000-0006-0000-0000-000005000000}">
      <text>
        <r>
          <rPr>
            <sz val="10"/>
            <color rgb="FF000000"/>
            <rFont val="Arial"/>
            <family val="2"/>
            <scheme val="minor"/>
          </rPr>
          <t>일반적인 기업은 재고자산을 회전율을 이용하여 구할 것이나 조선업은 (1)긴 생산주기, (2) 진행률기준 수익비용인식, (3)재고자산의 구성이 일반적 원재료 재공품 제품 구성이 아니고 미착상품도 존재하고 있어 다른 방식이 적절하다고 판다.
이중 러시아 제재로 계약이 해제되어 재고로 처리된 금액 2,779,695 - 576,367 = 2,203,328(백만원)
원재료 576,367은 대부분 후판이므로 비용파트시트에 있는 후판 가격 성장률로 추정(25년 3분기 말 원재료인 360,479백만원을 쓰는 것이 최선이라고 생각하여 해당 금액으로 추정하였음)</t>
        </r>
      </text>
    </comment>
    <comment ref="C35" authorId="0" shapeId="0" xr:uid="{00000000-0006-0000-0000-000006000000}">
      <text>
        <r>
          <rPr>
            <sz val="10"/>
            <color rgb="FF000000"/>
            <rFont val="Arial"/>
            <family val="2"/>
            <scheme val="minor"/>
          </rPr>
          <t>과거3개년 평균 매출액 대비 비율
0.000866</t>
        </r>
      </text>
    </comment>
    <comment ref="C36" authorId="0" shapeId="0" xr:uid="{00000000-0006-0000-0000-000007000000}">
      <text>
        <r>
          <rPr>
            <sz val="10"/>
            <color rgb="FF000000"/>
            <rFont val="Arial"/>
            <family val="2"/>
            <scheme val="minor"/>
          </rPr>
          <t xml:space="preserve">주로 영업관련이므로 매출액 대비 비율이 이상적임
18.23%
</t>
        </r>
      </text>
    </comment>
    <comment ref="E39" authorId="0" shapeId="0" xr:uid="{00000000-0006-0000-0000-000008000000}">
      <text>
        <r>
          <rPr>
            <sz val="10"/>
            <color rgb="FF000000"/>
            <rFont val="Arial"/>
            <family val="2"/>
            <scheme val="minor"/>
          </rPr>
          <t>장기보증금, 장기대여금, 비유동 파생상품자산 등. 회전이 아니라 정책 반영 고정으로 잡는 것이 정석. 
1순위) 매출 대비 비율 유지=&gt; 평균 장기기타/매출 0.28%
2순위)수치가 튀어서 전년도 고정으로 잡음</t>
        </r>
      </text>
    </comment>
    <comment ref="C40" authorId="0" shapeId="0" xr:uid="{00000000-0006-0000-0000-000009000000}">
      <text>
        <r>
          <rPr>
            <sz val="10"/>
            <color rgb="FF000000"/>
            <rFont val="Arial"/>
            <family val="2"/>
            <scheme val="minor"/>
          </rPr>
          <t xml:space="preserve">지분법이익은 필리조선소가 27년까지는 도크 건설을 하고 있으므로 추가적 이익이 나지 않는다고 판단하여 지분법이익을 동일하게 처리하여 나온 값. </t>
        </r>
      </text>
    </comment>
    <comment ref="E41" authorId="0" shapeId="0" xr:uid="{00000000-0006-0000-0000-00000A000000}">
      <text>
        <r>
          <rPr>
            <sz val="10"/>
            <color rgb="FF000000"/>
            <rFont val="Arial"/>
            <family val="2"/>
            <scheme val="minor"/>
          </rPr>
          <t>매출액 × 3.08%
2023~2024년 평균 비율.</t>
        </r>
      </text>
    </comment>
    <comment ref="C42" authorId="0" shapeId="0" xr:uid="{00000000-0006-0000-0000-00000B000000}">
      <text>
        <r>
          <rPr>
            <sz val="10"/>
            <color rgb="FF000000"/>
            <rFont val="Arial"/>
            <family val="2"/>
            <scheme val="minor"/>
          </rPr>
          <t xml:space="preserve">헤지목적의 파생계약을 더이상 수행하지 않기 때문에 모든 자산에 대한 환헤지를 풀어버렸다.
</t>
        </r>
      </text>
    </comment>
    <comment ref="C47" authorId="0" shapeId="0" xr:uid="{00000000-0006-0000-0000-00000C000000}">
      <text>
        <r>
          <rPr>
            <sz val="10"/>
            <color rgb="FF000000"/>
            <rFont val="Arial"/>
            <family val="2"/>
            <scheme val="minor"/>
          </rPr>
          <t xml:space="preserve">공사손실충당부채, 하자보수충당부채, 퇴직급여부채 등 영업 활동과 직접 연동된 일시적 차이이므로 매출액성장률을 이용
</t>
        </r>
      </text>
    </comment>
    <comment ref="C48" authorId="0" shapeId="0" xr:uid="{00000000-0006-0000-0000-00000D000000}">
      <text>
        <r>
          <rPr>
            <sz val="10"/>
            <color rgb="FF000000"/>
            <rFont val="Arial"/>
            <family val="2"/>
            <scheme val="minor"/>
          </rPr>
          <t xml:space="preserve">금액이 작고 자료도 적기 때문에 플랫가정
</t>
        </r>
      </text>
    </comment>
    <comment ref="C52" authorId="0" shapeId="0" xr:uid="{00000000-0006-0000-0000-00000E000000}">
      <text>
        <r>
          <rPr>
            <sz val="10"/>
            <color rgb="FF000000"/>
            <rFont val="Arial"/>
            <family val="2"/>
            <scheme val="minor"/>
          </rPr>
          <t>현재 유동성 사채가 없기 때문에 모든 금액을 단기차입금으로 보고 단기차입금 중 대부분이 운영자금인 것으로 보아 매출액비중으로 연동시켰다.
한편 25년말부터 나오는 유동사채를 직접 반영하였다.</t>
        </r>
      </text>
    </comment>
    <comment ref="H52" authorId="0" shapeId="0" xr:uid="{00000000-0006-0000-0000-00000F000000}">
      <text>
        <r>
          <rPr>
            <sz val="10"/>
            <color rgb="FF000000"/>
            <rFont val="Arial"/>
            <family val="2"/>
            <scheme val="minor"/>
          </rPr>
          <t>김희연 추정치 - 합리적인 설명 하면 추정치 반영가능함. 아직 설명 x
2025 현금흐름
기초 현금 1,998
+영업현금흐름 1,500
-capex 4,500
-운전자본 -1,200
=부족현금 -4,202
부족현금+최소현금(매출 2~5%) 6,002 억원 증가 추정</t>
        </r>
      </text>
    </comment>
    <comment ref="C53" authorId="0" shapeId="0" xr:uid="{00000000-0006-0000-0000-000010000000}">
      <text>
        <r>
          <rPr>
            <sz val="10"/>
            <color rgb="FF000000"/>
            <rFont val="Arial"/>
            <family val="2"/>
            <scheme val="minor"/>
          </rPr>
          <t>해당금액은 존재하지 않는다.</t>
        </r>
      </text>
    </comment>
    <comment ref="C54" authorId="0" shapeId="0" xr:uid="{00000000-0006-0000-0000-000011000000}">
      <text>
        <r>
          <rPr>
            <sz val="10"/>
            <color rgb="FF000000"/>
            <rFont val="Arial"/>
            <family val="2"/>
            <scheme val="minor"/>
          </rPr>
          <t>22년은 인수 전 적자기간, 23년은 인수 및 재조정 기간, 24년은 정상 흑자기간이므로
22년 : 23년 : 24년 가중치를 1 : 3 : 6 으로 설정</t>
        </r>
      </text>
    </comment>
    <comment ref="C55" authorId="0" shapeId="0" xr:uid="{00000000-0006-0000-0000-000012000000}">
      <text>
        <r>
          <rPr>
            <sz val="10"/>
            <color rgb="FF000000"/>
            <rFont val="Arial"/>
            <family val="2"/>
            <scheme val="minor"/>
          </rPr>
          <t xml:space="preserve">유형자산 증가에 어느정도 연동되는 부분이 있으나 금액이 다른 자산대비 작으므로 성장률0 가정
</t>
        </r>
      </text>
    </comment>
    <comment ref="C56" authorId="0" shapeId="0" xr:uid="{00000000-0006-0000-0000-000013000000}">
      <text>
        <r>
          <rPr>
            <sz val="10"/>
            <color rgb="FF000000"/>
            <rFont val="Arial"/>
            <family val="2"/>
            <scheme val="minor"/>
          </rPr>
          <t xml:space="preserve">공정가치위험회피대상이 존재하지 않음.
</t>
        </r>
      </text>
    </comment>
    <comment ref="C57" authorId="0" shapeId="0" xr:uid="{00000000-0006-0000-0000-000014000000}">
      <text>
        <r>
          <rPr>
            <sz val="10"/>
            <color rgb="FF000000"/>
            <rFont val="Arial"/>
            <family val="2"/>
            <scheme val="minor"/>
          </rPr>
          <t>26년1월을 마지막으로 공정가치위험회피회계를 종료했기 때문에 0으로 가정한다.</t>
        </r>
      </text>
    </comment>
    <comment ref="C58" authorId="0" shapeId="0" xr:uid="{00000000-0006-0000-0000-000015000000}">
      <text>
        <r>
          <rPr>
            <sz val="10"/>
            <color rgb="FF000000"/>
            <rFont val="Arial"/>
            <family val="2"/>
            <scheme val="minor"/>
          </rPr>
          <t xml:space="preserve">계약부채 회전율로 구함
</t>
        </r>
      </text>
    </comment>
    <comment ref="C59" authorId="0" shapeId="0" xr:uid="{00000000-0006-0000-0000-000016000000}">
      <text>
        <r>
          <rPr>
            <sz val="10"/>
            <color rgb="FF000000"/>
            <rFont val="Arial"/>
            <family val="2"/>
            <scheme val="minor"/>
          </rPr>
          <t>공사손실충당부채(86,991), 하자보수충당부채(60,012), 기타(217,181)로 이루어져 있다.
공사손실충당부채는 고부가가치 선종으로의 대체와 장기 충당부채에 공사손실충당부채 없는 것으로 미루어볼 때 이후에 아예 손실부담계약이 없는 것으로 보고 이후엔 나타나지 않게 처리함이 타당하다,
 하자보수충당부채는 매출액 비례, 
기타유동성충당부채는 성장률0 가정
수주잔고예측값 나오면 링크 걸면 됨</t>
        </r>
      </text>
    </comment>
    <comment ref="C60" authorId="0" shapeId="0" xr:uid="{00000000-0006-0000-0000-000017000000}">
      <text>
        <r>
          <rPr>
            <sz val="10"/>
            <color rgb="FF000000"/>
            <rFont val="Arial"/>
            <family val="2"/>
            <scheme val="minor"/>
          </rPr>
          <t xml:space="preserve">이연법인세자산을 매출액 성장률에 따랐으므로 이것도 매출액 성장률 비례
</t>
        </r>
      </text>
    </comment>
    <comment ref="C61" authorId="0" shapeId="0" xr:uid="{00000000-0006-0000-0000-000018000000}">
      <text>
        <r>
          <rPr>
            <sz val="10"/>
            <color rgb="FF000000"/>
            <rFont val="Arial"/>
            <family val="2"/>
            <scheme val="minor"/>
          </rPr>
          <t xml:space="preserve">대부분이 예수금이고 예수금은 매출액에 비례하는 성격이 있기 때문에 매출액 성장률 이용
</t>
        </r>
      </text>
    </comment>
    <comment ref="E63" authorId="0" shapeId="0" xr:uid="{00000000-0006-0000-0000-000019000000}">
      <text>
        <r>
          <rPr>
            <sz val="10"/>
            <color rgb="FF000000"/>
            <rFont val="Arial"/>
            <family val="2"/>
            <scheme val="minor"/>
          </rPr>
          <t xml:space="preserve">2023, 24 증가율이 현실적인 추정치에 가까움 0.22%
2022년도는 특수한 차입 급증이 반영된 해라서 제외
올해 장기차입금*평균증가율
</t>
        </r>
      </text>
    </comment>
    <comment ref="C64" authorId="0" shapeId="0" xr:uid="{00000000-0006-0000-0000-00001A000000}">
      <text>
        <r>
          <rPr>
            <sz val="10"/>
            <color rgb="FF000000"/>
            <rFont val="Arial"/>
            <family val="2"/>
            <scheme val="minor"/>
          </rPr>
          <t xml:space="preserve">장기매입채무는 금액이 작고 중요도가 떨어져 성장률을 0으로 설정했다.
기타채무는 현금결제형 주식기준보상거래의 장기미지급비용만 추가적으로 고려하였다.
</t>
        </r>
      </text>
    </comment>
    <comment ref="E65" authorId="0" shapeId="0" xr:uid="{00000000-0006-0000-0000-00001B000000}">
      <text>
        <r>
          <rPr>
            <sz val="10"/>
            <color rgb="FF000000"/>
            <rFont val="Arial"/>
            <family val="2"/>
            <scheme val="minor"/>
          </rPr>
          <t xml:space="preserve">전년도 순확정급여부채*(1+임금상승률+할인률)
장기aa급 회사채 기준 3.7%, 국내 기업 보험수리가정 미래임금 상승률 3% (보수적) </t>
        </r>
      </text>
    </comment>
    <comment ref="C66" authorId="0" shapeId="0" xr:uid="{00000000-0006-0000-0000-00001C000000}">
      <text>
        <r>
          <rPr>
            <sz val="10"/>
            <color rgb="FF000000"/>
            <rFont val="Arial"/>
            <family val="2"/>
            <scheme val="minor"/>
          </rPr>
          <t xml:space="preserve">현재 하자보수충당부채 39,989
기타충당부채 147,913
이고 위에 유동과 같은 논리로 하자보수충당부채는 매출액비례 기타충당부채는 플랫가정
</t>
        </r>
      </text>
    </comment>
    <comment ref="E67" authorId="0" shapeId="0" xr:uid="{00000000-0006-0000-0000-00001D000000}">
      <text>
        <r>
          <rPr>
            <sz val="10"/>
            <color rgb="FF000000"/>
            <rFont val="Arial"/>
            <family val="2"/>
            <scheme val="minor"/>
          </rPr>
          <t>리스부채는 주석에서 확인
전기 리스부채-당기 지급예정 원금+신규 리스 인식분
26, 27은 신규 리스 없이 1,2년 이내 리스부채 차감</t>
        </r>
      </text>
    </comment>
    <comment ref="C68" authorId="0" shapeId="0" xr:uid="{00000000-0006-0000-0000-00001E000000}">
      <text>
        <r>
          <rPr>
            <sz val="10"/>
            <color rgb="FF000000"/>
            <rFont val="Arial"/>
            <family val="2"/>
            <scheme val="minor"/>
          </rPr>
          <t>26년1월을 마지막으로 신규 공정가치위험회피회계는 존재하지 않는다.</t>
        </r>
      </text>
    </comment>
    <comment ref="C70" authorId="0" shapeId="0" xr:uid="{00000000-0006-0000-0000-00001F000000}">
      <text>
        <r>
          <rPr>
            <sz val="10"/>
            <color rgb="FF000000"/>
            <rFont val="Arial"/>
            <family val="2"/>
            <scheme val="minor"/>
          </rPr>
          <t xml:space="preserve">이연법인세부채는 주로 유형자산과 영향이 깊다. 따라서 유형자산의 성장률을 따랐다.
</t>
        </r>
      </text>
    </comment>
    <comment ref="C74" authorId="0" shapeId="0" xr:uid="{00000000-0006-0000-0000-000020000000}">
      <text>
        <r>
          <rPr>
            <sz val="10"/>
            <color rgb="FF000000"/>
            <rFont val="Arial"/>
            <family val="2"/>
            <scheme val="minor"/>
          </rPr>
          <t xml:space="preserve">자본잉여금은 변동하지 않는 것으로 가정
</t>
        </r>
      </text>
    </comment>
    <comment ref="C75" authorId="0" shapeId="0" xr:uid="{00000000-0006-0000-0000-000021000000}">
      <text>
        <r>
          <rPr>
            <sz val="10"/>
            <color rgb="FF000000"/>
            <rFont val="Arial"/>
            <family val="2"/>
            <scheme val="minor"/>
          </rPr>
          <t xml:space="preserve">주식결제형 주식기준보상거래 추정치 이용
</t>
        </r>
      </text>
    </comment>
    <comment ref="C78" authorId="0" shapeId="0" xr:uid="{00000000-0006-0000-0000-000022000000}">
      <text>
        <r>
          <rPr>
            <sz val="10"/>
            <color rgb="FF000000"/>
            <rFont val="Arial"/>
            <family val="2"/>
            <scheme val="minor"/>
          </rPr>
          <t xml:space="preserve">지배주주분 ni 누적
</t>
        </r>
      </text>
    </comment>
    <comment ref="B79" authorId="0" shapeId="0" xr:uid="{00000000-0006-0000-0000-000023000000}">
      <text>
        <r>
          <rPr>
            <sz val="10"/>
            <color rgb="FF000000"/>
            <rFont val="Arial"/>
            <family val="2"/>
            <scheme val="minor"/>
          </rPr>
          <t>종속회사인 한화오션에코텍의 비지배지분인데 이를 계산하기 위해서 하나씩 추정하기보다는 과거 3개년치 평균총포괄손익을 지분율을 고려하여 배분하였다.</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23" authorId="0" shapeId="0" xr:uid="{00000000-0006-0000-0100-000001000000}">
      <text>
        <r>
          <rPr>
            <sz val="10"/>
            <color rgb="FF000000"/>
            <rFont val="Arial"/>
            <family val="2"/>
            <scheme val="minor"/>
          </rPr>
          <t xml:space="preserve">매출액추정 시트에 있습니다.
</t>
        </r>
      </text>
    </comment>
    <comment ref="B24" authorId="0" shapeId="0" xr:uid="{00000000-0006-0000-0100-000002000000}">
      <text>
        <r>
          <rPr>
            <sz val="10"/>
            <color rgb="FF000000"/>
            <rFont val="Arial"/>
            <family val="2"/>
            <scheme val="minor"/>
          </rPr>
          <t xml:space="preserve">비용파트 시트에 있습니다.
</t>
        </r>
      </text>
    </comment>
    <comment ref="C28" authorId="0" shapeId="0" xr:uid="{00000000-0006-0000-0100-000003000000}">
      <text>
        <r>
          <rPr>
            <sz val="10"/>
            <color rgb="FF000000"/>
            <rFont val="Arial"/>
            <family val="2"/>
            <scheme val="minor"/>
          </rPr>
          <t>매매목적 파생계약은 24년을 끝으로 더이상 수행하지 않고 있고, 공정가치위험회피도 26년1월 만기인 것을 끝으로 수행하지 않기 때문에 25년부터는 외환관련수익비용의 추정을 수행하지 않았다. 한편 24년 환율을 1470원으로 인식했고, 26년 1월 현재 환율과 비슷하기때문에 추가적으로 변동도 크지 않을 것이다.
이자수익과 배당금수익만 반영하였다.
한편 그 변동은 금액이 작기 때문에 성장률 0으로 가정하였다.</t>
        </r>
      </text>
    </comment>
    <comment ref="C29" authorId="0" shapeId="0" xr:uid="{00000000-0006-0000-0100-000004000000}">
      <text>
        <r>
          <rPr>
            <sz val="10"/>
            <color rgb="FF000000"/>
            <rFont val="Arial"/>
            <family val="2"/>
            <scheme val="minor"/>
          </rPr>
          <t xml:space="preserve">금융수익과 동일논리
이자비용만 고려
</t>
        </r>
      </text>
    </comment>
    <comment ref="C30" authorId="0" shapeId="0" xr:uid="{00000000-0006-0000-0100-000005000000}">
      <text>
        <r>
          <rPr>
            <sz val="10"/>
            <color rgb="FF000000"/>
            <rFont val="Arial"/>
            <family val="2"/>
            <scheme val="minor"/>
          </rPr>
          <t>기타수익에는 대부분 공정가치위험회피대상자산의 평가손익인데 26년 1월을 기점으로 공정가치위험회피 자산은 더이상 없다. 또한 다른 기타 수익비용도 일회성 비용이기 때문에 0으로 가정하였다.
한편 25년 평가손익은 24년말 환율과 25년말 환율이 비슷하기 때문에 0으로 가정하였다.</t>
        </r>
      </text>
    </comment>
    <comment ref="C32" authorId="0" shapeId="0" xr:uid="{00000000-0006-0000-0100-000006000000}">
      <text>
        <r>
          <rPr>
            <sz val="10"/>
            <color rgb="FF000000"/>
            <rFont val="Arial"/>
            <family val="2"/>
            <scheme val="minor"/>
          </rPr>
          <t xml:space="preserve">필리조선소 인수의 영향은 25년부터 시작됨.
필리조선소는 매년 26억정도 손실을 보던 기업이고 지분율이 40%이므로 10.4억씩 비용처리한다. 또한 도크 건설등 투자로 인한 순이익은 27년까지 나올 수 없을 것으로 생각했음.
</t>
        </r>
      </text>
    </comment>
    <comment ref="C34" authorId="0" shapeId="0" xr:uid="{00000000-0006-0000-0100-000007000000}">
      <text>
        <r>
          <rPr>
            <sz val="10"/>
            <color rgb="FF000000"/>
            <rFont val="Arial"/>
            <family val="2"/>
            <scheme val="minor"/>
          </rPr>
          <t xml:space="preserve">24년의 환급액을 347,178+181,035 * 24%(t)=  390,626 이라고 하고 이러한 환급의 절대치는 공제와 감면의 조세정책상의 효과로 고정이라고 가정하여 법인세비용차감전순이익(손실)의 산출세액에서 동일하게 빼주었다.
</t>
        </r>
      </text>
    </comment>
    <comment ref="C37" authorId="0" shapeId="0" xr:uid="{00000000-0006-0000-0100-000008000000}">
      <text>
        <r>
          <rPr>
            <sz val="10"/>
            <color rgb="FF000000"/>
            <rFont val="Arial"/>
            <family val="2"/>
            <scheme val="minor"/>
          </rPr>
          <t xml:space="preserve">종속회사인 한화오션에코텍에 대한 비지배지분이 연결로인해 보이는 것으로 금액이 작기 때문에 과거 3년치 평균 금액을 사용하였다.
</t>
        </r>
      </text>
    </comment>
    <comment ref="C45" authorId="0" shapeId="0" xr:uid="{00000000-0006-0000-0100-000009000000}">
      <text>
        <r>
          <rPr>
            <sz val="10"/>
            <color rgb="FF000000"/>
            <rFont val="Arial"/>
            <family val="2"/>
            <scheme val="minor"/>
          </rPr>
          <t xml:space="preserve">일회성 손익이므로 예측할 수 없기때문에 0으로 처리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C3" authorId="0" shapeId="0" xr:uid="{00000000-0006-0000-0300-000001000000}">
      <text>
        <r>
          <rPr>
            <sz val="10"/>
            <color rgb="FF000000"/>
            <rFont val="Arial"/>
            <family val="2"/>
            <scheme val="minor"/>
          </rPr>
          <t xml:space="preserve">역산을 해보면 24년 가득률은
9,626,000,000/(474,876주*37350)=약 54%임을 알 수 있다.
</t>
        </r>
      </text>
    </comment>
    <comment ref="E4" authorId="0" shapeId="0" xr:uid="{00000000-0006-0000-0300-000002000000}">
      <text>
        <r>
          <rPr>
            <sz val="10"/>
            <color rgb="FF000000"/>
            <rFont val="Arial"/>
            <family val="2"/>
            <scheme val="minor"/>
          </rPr>
          <t xml:space="preserve">기말 주가에 따라 영향을 받는 값이므로 예상주가를 써야하나 비용의 절대치가 큰 영향을 주는 것은 아니기 때문에 주가는 113,700으로 고정하여 계산하였다
</t>
        </r>
      </text>
    </comment>
    <comment ref="E8" authorId="0" shapeId="0" xr:uid="{00000000-0006-0000-0300-000003000000}">
      <text>
        <r>
          <rPr>
            <sz val="10"/>
            <color rgb="FF000000"/>
            <rFont val="Arial"/>
            <family val="2"/>
            <scheme val="minor"/>
          </rPr>
          <t xml:space="preserve">24년 가득률 54%인 것으로 미루어보아 2년을 가득기간으로 가정하여 계산
(1+1*0.75)/2=0.875
</t>
        </r>
      </text>
    </comment>
    <comment ref="C10" authorId="0" shapeId="0" xr:uid="{00000000-0006-0000-0300-000004000000}">
      <text>
        <r>
          <rPr>
            <sz val="10"/>
            <color rgb="FF000000"/>
            <rFont val="Arial"/>
            <family val="2"/>
            <scheme val="minor"/>
          </rPr>
          <t xml:space="preserve">25년 부여분은 27년말~29년말 가득된다는 조건에서 가득기간을 그 중간값인 4년으로 계산하였다.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C4" authorId="0" shapeId="0" xr:uid="{00000000-0006-0000-0700-000001000000}">
      <text>
        <r>
          <rPr>
            <sz val="10"/>
            <color rgb="FF000000"/>
            <rFont val="Arial"/>
            <family val="2"/>
            <scheme val="minor"/>
          </rPr>
          <t xml:space="preserve">강재와 엔진은 도크가 단기간에 추가되지 않는다는 가정하에 현재 풀capa 기준으로
강재는 철광석의 선물가격(한국광해광업공단) 25년 101.8, 26년 101.48, 27년 95.45과 열연코일(HRC)선물가격(COMEX) 25년 933, 26년 920, 27년 891을 이용해서 구함.
</t>
        </r>
      </text>
    </comment>
    <comment ref="C5" authorId="0" shapeId="0" xr:uid="{00000000-0006-0000-0700-000002000000}">
      <text>
        <r>
          <rPr>
            <sz val="10"/>
            <color rgb="FF000000"/>
            <rFont val="Arial"/>
            <family val="2"/>
            <scheme val="minor"/>
          </rPr>
          <t>수주잔고가 대부분 이중연료추진선이므로 ppi예상치인 2%초반대보다 높은 4%를 이용</t>
        </r>
      </text>
    </comment>
    <comment ref="C6" authorId="0" shapeId="0" xr:uid="{00000000-0006-0000-0700-000003000000}">
      <text>
        <r>
          <rPr>
            <sz val="10"/>
            <color rgb="FF000000"/>
            <rFont val="Arial"/>
            <family val="2"/>
            <scheme val="minor"/>
          </rPr>
          <t xml:space="preserve">기타비용들은 ppi 2%가정
</t>
        </r>
      </text>
    </comment>
    <comment ref="C7" authorId="0" shapeId="0" xr:uid="{00000000-0006-0000-0700-000004000000}">
      <text>
        <r>
          <rPr>
            <sz val="10"/>
            <color rgb="FF000000"/>
            <rFont val="Arial"/>
            <family val="2"/>
            <scheme val="minor"/>
          </rPr>
          <t>ppi 2%로 추정</t>
        </r>
      </text>
    </comment>
    <comment ref="F7" authorId="0" shapeId="0" xr:uid="{00000000-0006-0000-0700-000005000000}">
      <text>
        <r>
          <rPr>
            <sz val="10"/>
            <color rgb="FF000000"/>
            <rFont val="Arial"/>
            <family val="2"/>
            <scheme val="minor"/>
          </rPr>
          <t>전체매출원가*∑(그외선종매출액비중*그외선종매출원가율)</t>
        </r>
      </text>
    </comment>
    <comment ref="C8" authorId="0" shapeId="0" xr:uid="{00000000-0006-0000-0700-000006000000}">
      <text>
        <r>
          <rPr>
            <sz val="10"/>
            <color rgb="FF000000"/>
            <rFont val="Arial"/>
            <family val="2"/>
            <scheme val="minor"/>
          </rPr>
          <t>매출액성장률로 추정</t>
        </r>
      </text>
    </comment>
    <comment ref="F8" authorId="0" shapeId="0" xr:uid="{00000000-0006-0000-0700-000007000000}">
      <text>
        <r>
          <rPr>
            <sz val="10"/>
            <color rgb="FF000000"/>
            <rFont val="Arial"/>
            <family val="2"/>
            <scheme val="minor"/>
          </rPr>
          <t>25년 단순환산 매출원가 대비 외주가공비 비중을 구한 후
25년 외주가공비 예상액 - (25년 그외선종 매출원가예상치 * 외주가공비 비중)으로 구함</t>
        </r>
      </text>
    </comment>
    <comment ref="C9" authorId="0" shapeId="0" xr:uid="{00000000-0006-0000-0700-000008000000}">
      <text>
        <r>
          <rPr>
            <sz val="10"/>
            <color rgb="FF000000"/>
            <rFont val="Arial"/>
            <family val="2"/>
            <scheme val="minor"/>
          </rPr>
          <t xml:space="preserve">전체 종업원비용에서 판관비로 빠지는 종업원비용 제외
상승률은 cpi인 2%이용
</t>
        </r>
      </text>
    </comment>
    <comment ref="E27" authorId="0" shapeId="0" xr:uid="{00000000-0006-0000-0700-000009000000}">
      <text>
        <r>
          <rPr>
            <sz val="10"/>
            <color rgb="FF000000"/>
            <rFont val="Arial"/>
            <family val="2"/>
            <scheme val="minor"/>
          </rPr>
          <t>원가구성 비율이 공개되지 않아 구할 수 없음</t>
        </r>
      </text>
    </comment>
    <comment ref="J31" authorId="0" shapeId="0" xr:uid="{00000000-0006-0000-0700-00000A000000}">
      <text>
        <r>
          <rPr>
            <sz val="10"/>
            <color rgb="FF000000"/>
            <rFont val="Arial"/>
            <family val="2"/>
            <scheme val="minor"/>
          </rPr>
          <t>과거금액으로 하면 특수선의 폭발적 성장을 설명하기 부족하다고 판단하여 특수선 성장이 일부 반영된 25년 3분기 누적자료를 이용하여 도출함.</t>
        </r>
      </text>
    </comment>
    <comment ref="K31" authorId="0" shapeId="0" xr:uid="{00000000-0006-0000-0700-00000B000000}">
      <text>
        <r>
          <rPr>
            <sz val="10"/>
            <color rgb="FF000000"/>
            <rFont val="Arial"/>
            <family val="2"/>
            <scheme val="minor"/>
          </rPr>
          <t xml:space="preserve">판관비 제외하는 역산 수행
</t>
        </r>
      </text>
    </comment>
    <comment ref="L31" authorId="0" shapeId="0" xr:uid="{00000000-0006-0000-0700-00000C000000}">
      <text>
        <r>
          <rPr>
            <sz val="10"/>
            <color rgb="FF000000"/>
            <rFont val="Arial"/>
            <family val="2"/>
            <scheme val="minor"/>
          </rPr>
          <t>매출액 비중 또한 특수선의 성장을 반영하기 위해 25년 3분기 누적치를 이용</t>
        </r>
      </text>
    </comment>
    <comment ref="I36" authorId="0" shapeId="0" xr:uid="{00000000-0006-0000-0700-00000D000000}">
      <text>
        <r>
          <rPr>
            <sz val="10"/>
            <color rgb="FF000000"/>
            <rFont val="Arial"/>
            <family val="2"/>
            <scheme val="minor"/>
          </rPr>
          <t>연결조정이라 반영하지 않음</t>
        </r>
      </text>
    </comment>
    <comment ref="I37" authorId="0" shapeId="0" xr:uid="{00000000-0006-0000-0700-00000E000000}">
      <text>
        <r>
          <rPr>
            <sz val="10"/>
            <color rgb="FF000000"/>
            <rFont val="Arial"/>
            <family val="2"/>
            <scheme val="minor"/>
          </rPr>
          <t>과거 3년치 산술평균</t>
        </r>
      </text>
    </comment>
    <comment ref="I110" authorId="0" shapeId="0" xr:uid="{00000000-0006-0000-0700-00000F000000}">
      <text>
        <r>
          <rPr>
            <sz val="10"/>
            <color rgb="FF000000"/>
            <rFont val="Arial"/>
            <family val="2"/>
            <scheme val="minor"/>
          </rPr>
          <t xml:space="preserve">25년 크게 증가한 상각비를 바탕으로 25년 유형투자 상각비의 전액을 판관비 처리했다고 가정
</t>
        </r>
      </text>
    </comment>
    <comment ref="J110" authorId="0" shapeId="0" xr:uid="{00000000-0006-0000-0700-000010000000}">
      <text>
        <r>
          <rPr>
            <sz val="10"/>
            <color rgb="FF000000"/>
            <rFont val="Arial"/>
            <family val="2"/>
            <scheme val="minor"/>
          </rPr>
          <t>26추정 유지가정</t>
        </r>
      </text>
    </comment>
    <comment ref="F120" authorId="0" shapeId="0" xr:uid="{00000000-0006-0000-0700-000011000000}">
      <text>
        <r>
          <rPr>
            <sz val="10"/>
            <color rgb="FF000000"/>
            <rFont val="Arial"/>
            <family val="2"/>
            <scheme val="minor"/>
          </rPr>
          <t xml:space="preserve">무형,사용권자산 판관비처리액 공개되지 않아서 무형상각비 전액을 판관비로 가정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B13" authorId="0" shapeId="0" xr:uid="{00000000-0006-0000-0800-000001000000}">
      <text>
        <r>
          <rPr>
            <sz val="10"/>
            <color rgb="FF000000"/>
            <rFont val="Arial"/>
            <family val="2"/>
            <scheme val="minor"/>
          </rPr>
          <t>한화오션 실적보고서에 명시된 선종별 수주 금액 가져옴. (dart의 단일계약은 미공개 계약을 반영하지 않아서)
각 년도마다 당해 환율을 곱해 원화로 산정</t>
        </r>
      </text>
    </comment>
    <comment ref="H13" authorId="0" shapeId="0" xr:uid="{00000000-0006-0000-0800-000002000000}">
      <text>
        <r>
          <rPr>
            <sz val="10"/>
            <color rgb="FF000000"/>
            <rFont val="Arial"/>
            <family val="2"/>
            <scheme val="minor"/>
          </rPr>
          <t>dart 단일판매 모음
미공개계약 포함 X</t>
        </r>
      </text>
    </comment>
    <comment ref="F14" authorId="0" shapeId="0" xr:uid="{00000000-0006-0000-0800-000003000000}">
      <text>
        <r>
          <rPr>
            <sz val="10"/>
            <color rgb="FF000000"/>
            <rFont val="Arial"/>
            <family val="2"/>
            <scheme val="minor"/>
          </rPr>
          <t xml:space="preserve">2021년 이후 3년만에 처음
</t>
        </r>
      </text>
    </comment>
    <comment ref="H14" authorId="0" shapeId="0" xr:uid="{00000000-0006-0000-0800-000004000000}">
      <text>
        <r>
          <rPr>
            <sz val="10"/>
            <color rgb="FF000000"/>
            <rFont val="Arial"/>
            <family val="2"/>
            <scheme val="minor"/>
          </rPr>
          <t>미공개거래 포함하면 총 20척 수주.
평년대비 높은 발주 추세. 피크 년도.</t>
        </r>
      </text>
    </comment>
    <comment ref="I14" authorId="0" shapeId="0" xr:uid="{00000000-0006-0000-0800-000005000000}">
      <text>
        <r>
          <rPr>
            <sz val="10"/>
            <color rgb="FF000000"/>
            <rFont val="Arial"/>
            <family val="2"/>
            <scheme val="minor"/>
          </rPr>
          <t xml:space="preserve">10척 예상.
25년 VLCC 대량 수주는 글로벌 선주 발주가 한 해에 몰린 피크로, 같은 수준 반복은 어려움.
2026년 유조선 시황은 신조 인도 증가에도 “양호하나 고점에서 완만한 하향” 정도라, 선주들이 추가 신조를 계속 발주할 유인은 남아 있음.
</t>
        </r>
      </text>
    </comment>
    <comment ref="D15" authorId="0" shapeId="0" xr:uid="{00000000-0006-0000-0800-000006000000}">
      <text>
        <r>
          <rPr>
            <sz val="10"/>
            <color rgb="FF000000"/>
            <rFont val="Arial"/>
            <family val="2"/>
            <scheme val="minor"/>
          </rPr>
          <t>카타르 대규모  LNG 프로젝트로 발주량 급증</t>
        </r>
      </text>
    </comment>
    <comment ref="H15" authorId="0" shapeId="0" xr:uid="{00000000-0006-0000-0800-000007000000}">
      <text>
        <r>
          <rPr>
            <sz val="10"/>
            <color rgb="FF000000"/>
            <rFont val="Arial"/>
            <family val="2"/>
            <scheme val="minor"/>
          </rPr>
          <t xml:space="preserve">﻿신조가 상승 등의 이유로 전 세계 발주량 감소
</t>
        </r>
      </text>
    </comment>
    <comment ref="I15" authorId="0" shapeId="0" xr:uid="{00000000-0006-0000-0800-000008000000}">
      <text>
        <r>
          <rPr>
            <sz val="10"/>
            <color rgb="FF000000"/>
            <rFont val="Arial"/>
            <family val="2"/>
            <scheme val="minor"/>
          </rPr>
          <t>전 세계 발주량 예상치 81척 (LNG 터미널 프로젝트의 계획에 따라 역산). 당분간은 한국 조선 3사가 대부분을 가져갈 것.
2025년 기준 평균 선가 * 81/3</t>
        </r>
      </text>
    </comment>
    <comment ref="I16" authorId="0" shapeId="0" xr:uid="{00000000-0006-0000-0800-000009000000}">
      <text>
        <r>
          <rPr>
            <sz val="10"/>
            <color rgb="FF000000"/>
            <rFont val="Arial"/>
            <family val="2"/>
            <scheme val="minor"/>
          </rPr>
          <t>8~12척 예상.
﻿2021~2025까지 대량 발주가 이어져, 아직 많은 발주 잔고를 보유중임. 향후 2년간 발주 랠리는 그리 많지 않을듯. 수주잔고 비율이 46%이상에 달하기에 수급상의 이유만으로 추가발주를 기대해보긴 어려운 상황.</t>
        </r>
      </text>
    </comment>
    <comment ref="E18" authorId="0" shapeId="0" xr:uid="{00000000-0006-0000-0800-00000A000000}">
      <text>
        <r>
          <rPr>
            <sz val="10"/>
            <color rgb="FF000000"/>
            <rFont val="Arial"/>
            <family val="2"/>
            <scheme val="minor"/>
          </rPr>
          <t>2023년 중국의 선박 수주물량은 2446만 CGT(표준선 환산톤수)로 전 세계에서 59%에 이르는 점유율을 차지함 → 국내 조선사 실적 낮음</t>
        </r>
      </text>
    </comment>
    <comment ref="K25" authorId="0" shapeId="0" xr:uid="{00000000-0006-0000-0800-00000B000000}">
      <text>
        <r>
          <rPr>
            <sz val="10"/>
            <color rgb="FF000000"/>
            <rFont val="Arial"/>
            <family val="2"/>
            <scheme val="minor"/>
          </rPr>
          <t xml:space="preserve">설계/자재발주→ 선체·블록 제작 → 도크 탑재·의장·시운전
​작업량과 원가가 후기로 갈수록 집중됨.
헤비테일은 원가 기준 진행률을 쓰므로, 중후반부에 원가가 많이 몰린다는 산업 구조를 반영해  S 커브가 합리적이라 판단.
https://www.cpdbox.com/example-construction-contracts-ifrs-15/
</t>
        </r>
      </text>
    </comment>
    <comment ref="K26" authorId="0" shapeId="0" xr:uid="{00000000-0006-0000-0800-00000C000000}">
      <text>
        <r>
          <rPr>
            <sz val="10"/>
            <color rgb="FF000000"/>
            <rFont val="Arial"/>
            <family val="2"/>
            <scheme val="minor"/>
          </rPr>
          <t xml:space="preserve">평균 건조기간: 2년 (계약년도 제외)
</t>
        </r>
      </text>
    </comment>
    <comment ref="K27" authorId="0" shapeId="0" xr:uid="{00000000-0006-0000-0800-00000D000000}">
      <text>
        <r>
          <rPr>
            <sz val="10"/>
            <color rgb="FF000000"/>
            <rFont val="Arial"/>
            <family val="2"/>
            <scheme val="minor"/>
          </rPr>
          <t xml:space="preserve">평균 건조기간: 3년 (계약년도 제외)
</t>
        </r>
      </text>
    </comment>
    <comment ref="C31" authorId="0" shapeId="0" xr:uid="{00000000-0006-0000-0800-00000E000000}">
      <text>
        <r>
          <rPr>
            <sz val="10"/>
            <color rgb="FF000000"/>
            <rFont val="Arial"/>
            <family val="2"/>
            <scheme val="minor"/>
          </rPr>
          <t>카타르 대규모  LNG 프로젝트로 발주량 급증</t>
        </r>
      </text>
    </comment>
    <comment ref="B44" authorId="0" shapeId="0" xr:uid="{00000000-0006-0000-0800-00000F000000}">
      <text>
        <r>
          <rPr>
            <sz val="10"/>
            <color rgb="FF000000"/>
            <rFont val="Arial"/>
            <family val="2"/>
            <scheme val="minor"/>
          </rPr>
          <t>프로젝트별 스펙·POC가 비공개·비표준인 경우가 대다수라 수주별 금액으로 매출액을 산정하기에 어려움을 느낌.
부문별로 쪼개 연도별 시장 전망률을 바탕으로 매출액 산정.</t>
        </r>
      </text>
    </comment>
    <comment ref="E45" authorId="0" shapeId="0" xr:uid="{00000000-0006-0000-0800-000010000000}">
      <text>
        <r>
          <rPr>
            <sz val="10"/>
            <color rgb="FF000000"/>
            <rFont val="Arial"/>
            <family val="2"/>
            <scheme val="minor"/>
          </rPr>
          <t>성장률 15%
1. 기존 수주잔고 공정 가속화
- 장보고‑III Batch‑II 1·2번함에 대해, 2025년부터 매출 인식이 본격화됨. 
- 특수선 부문이 2025년 상반기에는 1번함 마무리 단계 진입으로 매출이 다소 둔화되지만, 하반기부터 Batch‑II 2번함 원가투입이 본격화되어 매출이 회복한다는 코멘트가 있음. 공정 가속화에 따른 매출 증가 예상
2. 미국 해군 MRO 신규 매출 반영
- 미 해군 군수지원함 USNS Wally Schirra(40,000톤급 탄약보급함) MRO를 수주. 이를 계기로 미 해군 MRO 시장 진출 본격화. 신규 성장 축.
(by 한화오션 IR)
한화오션은 2024년 실적발표에서 2030년까지 특수선 매출을 3조원 수준(현재의 약 3배)로 키우겠다고 밝혔음.
2024년 1.05조 → 2030년 3조는 연평균 성장률 19~20% 정도.
따라서 2025~26년 어느 한 해라도10% 이하로 떨어지는 그림은 회사 플랜과 맞지 않음.</t>
        </r>
      </text>
    </comment>
    <comment ref="F45" authorId="0" shapeId="0" xr:uid="{00000000-0006-0000-0800-000011000000}">
      <text>
        <r>
          <rPr>
            <sz val="10"/>
            <color rgb="FF000000"/>
            <rFont val="Arial"/>
            <family val="2"/>
            <scheme val="minor"/>
          </rPr>
          <t xml:space="preserve">성장률 30%.
2026년은 장보고 III Batch‑II 2·3번함, 울산급 Batch‑III 5·6번함, 소양급 AOE‑II 2번함 매출이 동시에 인식되는 해.
방위사업청: 2번함은 2024년 7월 기공, 2026년까지 함 건조를 완료하고 시운전을 거쳐 2028년 인도할 계획.​
기공 후 6~18개월에 선체 조립이 집중되며, 이 구간이 2025~2026년에 해당.​
2025년 3Q 특수선 매출 3.7천억에 대해 여러 리포트가 “Batch‑II 2번함 원가 투입 본격화”를 핵심 요인으로 지목.​
미 해군 MRO가 “시범”에서 연간 반복 사업으로 자리잡음.
공정 피크 + MRO 겹치는 해. 2025년의 +15%보다 훨씬 높은 성장률이 나올 것. 2배로 키움.
</t>
        </r>
      </text>
    </comment>
    <comment ref="G45" authorId="0" shapeId="0" xr:uid="{00000000-0006-0000-0800-000012000000}">
      <text>
        <r>
          <rPr>
            <sz val="10"/>
            <color rgb="FF000000"/>
            <rFont val="Arial"/>
            <family val="2"/>
            <scheme val="minor"/>
          </rPr>
          <t>성장률 9%.
고기저 유지.
피크 이후의 정상화. 2026년에 Batch‑II/FFX3/AOE‑II/MRO가 동시에 피크를 찍은 뒤, 2027년에는 일부 프로젝트 인도 완료. 후속함 공정은 이어지지만, 신규 착수·인도 캘린더가 2028년 이후로 넘어가는 구간이 생김.
따라서 2026년과 같은 30%대 성장은 기대하기 어려움. 기저가 커진 상태에서 한 자리수 후반 정도의 안정 성장이 더 현실적이라고 판단.</t>
        </r>
      </text>
    </comment>
    <comment ref="D46" authorId="0" shapeId="0" xr:uid="{00000000-0006-0000-0800-000013000000}">
      <text>
        <r>
          <rPr>
            <sz val="10"/>
            <color rgb="FF000000"/>
            <rFont val="Arial"/>
            <family val="2"/>
            <scheme val="minor"/>
          </rPr>
          <t>대우조선해양 시절 수주했던 프로젝트들의 막바지 공정 반영 결과</t>
        </r>
      </text>
    </comment>
    <comment ref="E46" authorId="0" shapeId="0" xr:uid="{00000000-0006-0000-0800-000014000000}">
      <text>
        <r>
          <rPr>
            <sz val="10"/>
            <color rgb="FF000000"/>
            <rFont val="Arial"/>
            <family val="2"/>
            <scheme val="minor"/>
          </rPr>
          <t xml:space="preserve">성장률 0% (레벨 유지)
해양이 이익을 크게 끌어올리는 구간은 아니고, 특수선과 상선이 주도라며 반복 언급. 2025년에 해양에서 두 자릿수 성장률을 가정하는 건 과도함.
​
2024년에 이미 P‑79, WTIV, Jansz‑IO 등 대형 프로젝트가 본격 반영되면서 해양 매출이 한 번 점프했었음.
​
기존 프로젝트가 계속 진행되므로 매출이 빠지기는 어렵지만, 동시에 새 FPSO/FLNG가 본격화되는 해도 아님. </t>
        </r>
      </text>
    </comment>
    <comment ref="F46" authorId="0" shapeId="0" xr:uid="{00000000-0006-0000-0800-000015000000}">
      <text>
        <r>
          <rPr>
            <sz val="10"/>
            <color rgb="FF000000"/>
            <rFont val="Arial"/>
            <family val="2"/>
            <scheme val="minor"/>
          </rPr>
          <t>성장률: -5%
2025~2026년 사이 해양은 일부 기존 프로젝트(WTIV, Jansz‑IO 등)가 2025년까지 인도·피크를 지나고, 새 대형 FPSO/FLNG 수주는 2027년 이후 물량이어서 2026년에 매출 공백 구간이 발생한다는 의견이 다수.
​
* P‑79 FPSO의 매출 이연은 하우스별 뷰가 갈리고 공시로 확정된 바도 아니어서, 2027년 추정에서는 별도 이연 효과를 전제하지 않는 시나리오로 봄.</t>
        </r>
      </text>
    </comment>
    <comment ref="G46" authorId="0" shapeId="0" xr:uid="{00000000-0006-0000-0800-000016000000}">
      <text>
        <r>
          <rPr>
            <sz val="10"/>
            <color rgb="FF000000"/>
            <rFont val="Arial"/>
            <family val="2"/>
            <scheme val="minor"/>
          </rPr>
          <t>성장률: 9% (재시동)
2026년에 해양이 프로젝트 공백·부진으로 –5% 정도 한 번 눌렸다고 보면, 2024~2025년 수준으로만 회복해도 2026년 대비 성장률이 이미 약 +4~5% 나옴.
​
여기에 한화오션이 2025년 이후 추진하는 EPU(에너지플랜트부문) 신설, FPSO 3기/2년 전략, 북미·중동 해양·에너지 플랜트 수주 시작이 초기 공정 매출로 4~5%p 정도 톱업을 더해준다고 보면, 4~5%(기저 회복) + 4~5%(신규 성장) 을 통해 중앙값 9%로 잡음.</t>
        </r>
      </text>
    </comment>
    <comment ref="P59" authorId="0" shapeId="0" xr:uid="{00000000-0006-0000-0800-000017000000}">
      <text>
        <r>
          <rPr>
            <sz val="10"/>
            <color rgb="FF000000"/>
            <rFont val="Arial"/>
            <family val="2"/>
            <scheme val="minor"/>
          </rPr>
          <t>4Q24 특수선 3,855억 급증과 부합</t>
        </r>
      </text>
    </comment>
    <comment ref="C86" authorId="0" shapeId="0" xr:uid="{00000000-0006-0000-0800-000018000000}">
      <text>
        <r>
          <rPr>
            <sz val="10"/>
            <color rgb="FF000000"/>
            <rFont val="Arial"/>
            <family val="2"/>
            <scheme val="minor"/>
          </rPr>
          <t>누적 인식 수익 - 누적 청구액</t>
        </r>
      </text>
    </comment>
    <comment ref="J87" authorId="0" shapeId="0" xr:uid="{00000000-0006-0000-0800-000019000000}">
      <text>
        <r>
          <rPr>
            <sz val="10"/>
            <color rgb="FF000000"/>
            <rFont val="Arial"/>
            <family val="2"/>
            <scheme val="minor"/>
          </rPr>
          <t>대규모 인도 예정.</t>
        </r>
      </text>
    </comment>
    <comment ref="G100" authorId="0" shapeId="0" xr:uid="{00000000-0006-0000-0800-00001A000000}">
      <text>
        <r>
          <rPr>
            <sz val="10"/>
            <color rgb="FF000000"/>
            <rFont val="Arial"/>
            <family val="2"/>
            <scheme val="minor"/>
          </rPr>
          <t>매출액 × 3.08%
2023~2024년 평균 비율인 3.08% 사용</t>
        </r>
      </text>
    </comment>
  </commentList>
</comments>
</file>

<file path=xl/sharedStrings.xml><?xml version="1.0" encoding="utf-8"?>
<sst xmlns="http://schemas.openxmlformats.org/spreadsheetml/2006/main" count="2438" uniqueCount="1085">
  <si>
    <t>재무상태표</t>
  </si>
  <si>
    <t>리포트 공시용</t>
  </si>
  <si>
    <t>상우</t>
  </si>
  <si>
    <t>(십억원)</t>
  </si>
  <si>
    <t>2025(추정)</t>
  </si>
  <si>
    <t>2026(추정)</t>
  </si>
  <si>
    <t>2027(추정)</t>
  </si>
  <si>
    <t>유동자산</t>
  </si>
  <si>
    <t xml:space="preserve"> </t>
  </si>
  <si>
    <t>현금 및 현금성자산</t>
  </si>
  <si>
    <t>매출채권 및 기타채권</t>
  </si>
  <si>
    <t>재고자산</t>
  </si>
  <si>
    <t>비유동자산</t>
  </si>
  <si>
    <t>유형자산</t>
  </si>
  <si>
    <t>관계기업등 지분관련자산</t>
  </si>
  <si>
    <t>자산총계</t>
  </si>
  <si>
    <t>유동부채</t>
  </si>
  <si>
    <t>매입채무 및 기타채무</t>
  </si>
  <si>
    <t>사채 및 차입금</t>
  </si>
  <si>
    <t>비유동부채</t>
  </si>
  <si>
    <t>장기차입금 및 사채</t>
  </si>
  <si>
    <t>장기매입채무 및 기타채무</t>
  </si>
  <si>
    <t>부채총계</t>
  </si>
  <si>
    <t>지배주주지분</t>
  </si>
  <si>
    <t>자본금</t>
  </si>
  <si>
    <t>자본잉여금</t>
  </si>
  <si>
    <t>이익잉여금</t>
  </si>
  <si>
    <t>비지배주주지분</t>
  </si>
  <si>
    <t>자본총계</t>
  </si>
  <si>
    <t>DCF용</t>
  </si>
  <si>
    <t>(백만원)</t>
  </si>
  <si>
    <t>-</t>
  </si>
  <si>
    <t>2022</t>
  </si>
  <si>
    <t>2023</t>
  </si>
  <si>
    <t>2024</t>
  </si>
  <si>
    <t>승택</t>
  </si>
  <si>
    <t>현금및현금성자산</t>
  </si>
  <si>
    <t>매출액</t>
  </si>
  <si>
    <t>기타금융자산</t>
  </si>
  <si>
    <t>매출채권및기타채권</t>
  </si>
  <si>
    <t>3년평균 매출채권및기타채권 비율</t>
  </si>
  <si>
    <t>서연</t>
  </si>
  <si>
    <t>계약자산</t>
  </si>
  <si>
    <t>유동성확정계약자산</t>
  </si>
  <si>
    <t>준희</t>
  </si>
  <si>
    <t>유동성통화선도자산</t>
  </si>
  <si>
    <t>당기법인세자산</t>
  </si>
  <si>
    <t>기타유동자산</t>
  </si>
  <si>
    <t>매각예정비유동자산</t>
  </si>
  <si>
    <t>희연</t>
  </si>
  <si>
    <t>장기기타금융자산</t>
  </si>
  <si>
    <t>USD</t>
  </si>
  <si>
    <t>1년물 선도환율</t>
  </si>
  <si>
    <t>2년물 선도환율</t>
  </si>
  <si>
    <t>관계기업및공동기업</t>
  </si>
  <si>
    <t>장기매출채권및기타채권</t>
  </si>
  <si>
    <t>확정계약자산</t>
  </si>
  <si>
    <t>통화선도자산</t>
  </si>
  <si>
    <t xml:space="preserve">25Q3 기준 유형자산 금액 5,025,253백만원
약 5조원 중 담보설정 유형자산 약 3.5조원
24년 말부터의 3분기간 유형자산 증감액 4천억원
감가상각비 1천억원
거제조선소 6천억원 투자(Floating Dock, Crane 등)[1]
Floating Dock 332,800,000,000
Crane 268,000,000,000
건설기간은 각각 2년과 2.5년이 예상되므로[2]
[1]
http://www.haesanews.com/news/articleView.html?idxno=137390
[2]
https://dart.fss.or.kr/dsaf001/main.do?rcpNo=20250428800407
https://dart.fss.or.kr/dsaf001/main.do?rcpNo=20250428800409
</t>
  </si>
  <si>
    <t>건물</t>
  </si>
  <si>
    <t>기계</t>
  </si>
  <si>
    <t>선박항공기</t>
  </si>
  <si>
    <t>차량운반구</t>
  </si>
  <si>
    <t>토지</t>
  </si>
  <si>
    <t>비품</t>
  </si>
  <si>
    <t>사용권자산</t>
  </si>
  <si>
    <t>25Q3 말 기준 사용권자산 금액/ 총증감(추가+감가비) (단위: 백만원)
건물 35,272 / -7,701
기계 41 / -65
선박항공기 56,674 / -11,121
차량운반구 8,771 / +1,833
토지 39,950 / +7,529
비품 8
기타증감은 복구원가, 선급리스료 등이 포함된 변동분이기 때문에 투자활동과 다르므로 제외하였다. 유형자산의 규모에 비하여 사용권자산이 크지 않기 때문에 정액법 리스계약을 가정하고 향후 3년에 대한 사용권자산 금액을 추정하였다.</t>
  </si>
  <si>
    <t>25Q3 기말금액</t>
  </si>
  <si>
    <t>Floating Dock</t>
  </si>
  <si>
    <t>무형자산</t>
  </si>
  <si>
    <t>무형자산은 인수합병으로 생긴 영업권을 제외한 대부분이 산업재산권
스마트야드의 특허 및 소프트웨어가 주를 차지할 것
HD한국조선해양과 삼성중공업 역시 자동화 소프트웨어 구축에 많은 투자를 쏟고 있으며, 현대와 삼성 모두의 특허에 각각 많은 의존성을 보이고 있음[1]
특허가 상호연결적이라는 사실은 무형자산이 다른 회사들과 함께 움직인다는 의미를 가짐.
‘특허 컨소시엄’처럼 빌딩되는 경우
무형자산은 재무제표에 계상된 것보다 훨씬 규모가 크고, 훨씬 빨리 상각될 것.
2030년까지 자동화율을 70% 이상 완성하겠다는 계획을 위해 총 3,000억원, 2024년부터 2026년까지 1,600억원을 투자할 예정[2]
23년도 말 산업재산권이 30억원에서 24년도 말 500억원 정도로 급증한 것을 고려했을 때, 앞으로의 무형자산 역시 영업권의 우선상각과 산업재산권 변동에 크게 좌우될 것으로 예상됨
3,000*500/800=1,875억원으로 산업재산권 비율을 예측하고 정액법을 적용했을 때, 연간 275억원이므로 영업권의 우선상각을 연간 200억원으로 Flat 처리했을 때 연간 75억원이 추가되는 것으로 예상할 수 있음.
[1]
https://blog.patentpia.com/ko/detail/700
[2]
https://www.inews24.com/view/1904758</t>
  </si>
  <si>
    <t>25Q3 감가비</t>
  </si>
  <si>
    <t>이연법인세자산</t>
  </si>
  <si>
    <t>정액법 가정시 리스료</t>
  </si>
  <si>
    <t>25Q4 기말금액</t>
  </si>
  <si>
    <t>Crane</t>
  </si>
  <si>
    <t>기타비유동자산</t>
  </si>
  <si>
    <t>순확정급여자산</t>
  </si>
  <si>
    <t>매입채무회전율</t>
  </si>
  <si>
    <t>2021</t>
  </si>
  <si>
    <t>2,023</t>
  </si>
  <si>
    <t>2,024</t>
  </si>
  <si>
    <t>Column 6</t>
  </si>
  <si>
    <t>매입채무등</t>
  </si>
  <si>
    <t>당기손익-공정가치측정금융부채</t>
  </si>
  <si>
    <t>매출원가</t>
  </si>
  <si>
    <t>매입채무및기타채무</t>
  </si>
  <si>
    <t>회전율</t>
  </si>
  <si>
    <t>유동성리스부채</t>
  </si>
  <si>
    <t>유동성확정계약부채</t>
  </si>
  <si>
    <t>사채</t>
  </si>
  <si>
    <t>25년</t>
  </si>
  <si>
    <t>26년</t>
  </si>
  <si>
    <t>27년</t>
  </si>
  <si>
    <t>유동성통화선도부채</t>
  </si>
  <si>
    <t>유동</t>
  </si>
  <si>
    <t>계약부채</t>
  </si>
  <si>
    <t>비유동</t>
  </si>
  <si>
    <t>유동성충당부채</t>
  </si>
  <si>
    <t>당기법인세부채</t>
  </si>
  <si>
    <t>기타유동부채</t>
  </si>
  <si>
    <t>상환예정액 주석 정보</t>
  </si>
  <si>
    <t>장기매입채무및기타채무</t>
  </si>
  <si>
    <t>순확정급여부채 및 기타장기종업원급여부채</t>
  </si>
  <si>
    <t>충당부채</t>
  </si>
  <si>
    <t>리스부채 잔존만기 24기준</t>
  </si>
  <si>
    <t>1년미만</t>
  </si>
  <si>
    <t xml:space="preserve">1년-5년 </t>
  </si>
  <si>
    <t>5년 이상</t>
  </si>
  <si>
    <t>리스부채</t>
  </si>
  <si>
    <t>확정계약부채</t>
  </si>
  <si>
    <t>2024/12/31 선물환매도 평균율</t>
  </si>
  <si>
    <t>통화선도부채</t>
  </si>
  <si>
    <r>
      <t xml:space="preserve">통화선도자산부채는 개별 계정과목의 수치를 측정하는 것보다는
매출에 연동하여 얼만큼의 비율로 위험회피를 하고 있는지를 살펴봄이 바람직하다고 판단된다.
한화오션의 헤지전략은 익스포저가 아니라 시황 및 헤지 비용 등을 고려하여 매우 유동적으로 변경되나,[1]
수주금액의 30~60%를 위험회피하는 정책을 사용중인 것으로 판단된다.[2]
2022년 59억 6000만 달러 
2023년 34억 3900만 달러 
2024년 17억 7400만 달러 [3]
실제로 환율 상승 예상에 발맞춰 한화오션은 선물환매도 계약규모를 줄여가고 있다. 통계적 구간과 환율 상승 예상을 고려하였을 때 가장 가능성이 높은 헤지비율은 수주금액의 30%일 것으로 예상되므로 
2024년 말까지의 선물매도계약 평균율 1,231.57원과 1월 1일 환율 1,443.64원의 차액에 계약규모 864.66백만 USD를 곱하여 2025년의 선도부채를 예측할 수 있고,
이후 금액은 예상매출액의 30%를 미래 평균율에 대입하는 것으로 예측할 수 있을 것이다.
미래 평균율은 서울외국환중개의 3년물 통화선도환율 1,409.24원[4]과 현재 환율 1,458.48원의 차액을 적용하여 구했다.
[1]
https://www.bloter.net/news/articleView.html?idxno=635846
[2]
https://www.businesspost.co.kr/BP?command=article_view&amp;num=423776
[3]
https://www.businesspost.co.kr/BP?command=article_view&amp;num=396363
[4]
</t>
    </r>
    <r>
      <rPr>
        <u/>
        <sz val="10"/>
        <color rgb="FF1155CC"/>
        <rFont val="Arial"/>
        <family val="2"/>
      </rPr>
      <t>http://www.smbs.biz/ExRate/FutureExRate.jsp</t>
    </r>
  </si>
  <si>
    <t>2025/12/31 당시 환율</t>
  </si>
  <si>
    <t>3년물 통화선도환율</t>
  </si>
  <si>
    <t>이연법인세부채</t>
  </si>
  <si>
    <t>선물환매도계약규모(USD)</t>
  </si>
  <si>
    <t>시점별 환율</t>
  </si>
  <si>
    <t>N/A, 장기적으로 상승여력 충분하다고 생각되어 최대한 보수적으로 1,500원 Flat 처리</t>
  </si>
  <si>
    <t>통화선도자산부채</t>
  </si>
  <si>
    <t>시점별 매출규모</t>
  </si>
  <si>
    <t>지배기업 소유주지분</t>
  </si>
  <si>
    <t>헤지비율</t>
  </si>
  <si>
    <t>유상증자는 2023년 인수 이후 재원 마련을 위해서 진행한 이후 그 이상의 자본금 변동은 없었음.
한화그룹 전체를 보았을 때도 M&amp;A 이벤트를 제외하고 유상증자를 하는 경우는 많지 않았음. 확실히 체급을 불리는 투자목표가 아닌 이상 유상증자를 함부로 사용하지 않는다는 의미로 해석 가능</t>
  </si>
  <si>
    <t>자본잉여금의 경우 RSU 주식 부여분이 포함될 수 있어 이에 대한 조사가 필요함.</t>
  </si>
  <si>
    <t>자본조정</t>
  </si>
  <si>
    <t>신종자본증권</t>
  </si>
  <si>
    <t>대우조선해양 시절 발행한 CB가 신종자본증권의 전부임. 
1%대의 저금리 영구전환사채이고, 조기상환이 가능한 2021년 이후에도 전량 미상환 상태이기 때문에 
한화오션이 상환할 가능성은 없다고 판단됨.</t>
  </si>
  <si>
    <t>기타포괄손익누계액</t>
  </si>
  <si>
    <t xml:space="preserve">조선업에서의 OCI는 자산의 재평가잉여금과 통화선도자산 증가분이 절대적인 영향을 미칠 것으로 판단됨.
거제조선소와 필리조선소의 자산은 매매 목적이 아니기 때문에 재평가잉여금이 현금을 창출하는 능력으로 연결되지는 않을 것으로 예상됨.
거제조선소 산업단지는 부동산 및 기계장치의 단가 상승을 기대하기 어렵고, 필리조선소가 막대한 CAPEX 덕에 오를 것으로 예상되나, 대부분 리스 및 신규구매이기 때문에 재평가잉여금은 변동이 크지 않을 것으로 예측됨.
</t>
  </si>
  <si>
    <t>이익잉여금(결손금)</t>
  </si>
  <si>
    <t>비지배지분</t>
  </si>
  <si>
    <t>한화오션에코텍(종속회사)</t>
  </si>
  <si>
    <t>평균</t>
  </si>
  <si>
    <t>부채와 자본총계</t>
  </si>
  <si>
    <t>총포괄손익</t>
  </si>
  <si>
    <t>당기순이익</t>
  </si>
  <si>
    <t>포괄손익계산서</t>
  </si>
  <si>
    <t>(십억원,%)</t>
  </si>
  <si>
    <t>증가율(%)</t>
  </si>
  <si>
    <t>매출총이익</t>
  </si>
  <si>
    <t>판매비와 관리비</t>
  </si>
  <si>
    <t>영업이익</t>
  </si>
  <si>
    <t>영억이익률(%)</t>
  </si>
  <si>
    <t>EBITDA</t>
  </si>
  <si>
    <t>영업외손익</t>
  </si>
  <si>
    <t>법인세비용차감전순손익</t>
  </si>
  <si>
    <t>법인세비용</t>
  </si>
  <si>
    <t>순이익률(%)</t>
  </si>
  <si>
    <t>지배지분순이익</t>
  </si>
  <si>
    <t>기타포괄이익</t>
  </si>
  <si>
    <t>총포괄이익</t>
  </si>
  <si>
    <t>지배주주귀속 총포괄이익</t>
  </si>
  <si>
    <t>매출총이익(손실)</t>
  </si>
  <si>
    <t>판매비와관리비</t>
  </si>
  <si>
    <t>영업이익(손실)</t>
  </si>
  <si>
    <t>금융수익</t>
  </si>
  <si>
    <t>금융수익은 한화오션이 갖고있는 주식에서 비롯된 수익을 의미합니다. 매출성장률과 배당에 대한 근거를 제공해주시면 좋겠습니다..해당 수치는 공시된 전망이 아닌, 과거 재무제표상 매출 증감률을 활용한 분석상 가정입니다 매출 변화 비율을 성장률 가정치 가정의 참고치로 쓴 것은 재무모델링 상 일관성을 유지하기 위한 가정입니다</t>
  </si>
  <si>
    <t>.</t>
  </si>
  <si>
    <t>금융비용</t>
  </si>
  <si>
    <t>고정설비투자가 많은 조선업 특성상 매출성장률보다는 투자활동현금흐름 또는 유형자산의 증감률이 차입에 더 큰 영향이 있을 것 같습니다(반론 환영), 물론 이런 Naive한 가정보다는 평균차입금과 평균이자율을 계산하는 것이 더욱 정교한 리서치를 만들 것 같습니다. 투자활동현금흐름은 개별 프로젝트에 따른 변동성이 크기 때문에, 이를 그대로 금융비용 추정에 반영할 경우 안정성이 저하될 수 있으므로, 이에 비해 매출 성장률은 평활화된 지표이니 추정 단계에서는 합리적인 대체 변수로 사용될 수 있을 것같습니다</t>
  </si>
  <si>
    <t>기타수익</t>
  </si>
  <si>
    <t>기타비용</t>
  </si>
  <si>
    <t>지분법이익</t>
  </si>
  <si>
    <t>법인세비용차감전순이익(손실)</t>
  </si>
  <si>
    <t>법인세비용(수익)</t>
  </si>
  <si>
    <t>당기순이익(손실)</t>
  </si>
  <si>
    <t>지배기업의 소유주귀속</t>
  </si>
  <si>
    <t>비지배지분귀속</t>
  </si>
  <si>
    <t>기타포괄손익</t>
  </si>
  <si>
    <t xml:space="preserve">     후속적으로 당기손익으로 재분류될 수 없는 항목</t>
  </si>
  <si>
    <t>순확정급여제도재측정요소</t>
  </si>
  <si>
    <t>사외적립자산의 수익이 안정적으로 지속되고 있고 대부분 종업원급여로 나가고 있기 때문에 재측정요소의 변동은 크지 않을 것으로 판단됨</t>
  </si>
  <si>
    <t>유형자산재평가잉여금</t>
  </si>
  <si>
    <t>감가상각을 제외한 재평가잉여금의 변동은 영업활동에 큰 축이 아니며, 재평가잉여금이 큰 변동이 없기 때문에 Flat 처리하였음</t>
  </si>
  <si>
    <t>기타포괄손익-공정가치측정금융자산평가손익</t>
  </si>
  <si>
    <t>한화오션의 FVOCI 매수도는 영업활동이 아님. 여러 계열사 및 자회사들의 지분증권을 합하여 회계처리한 것으로 변동이 매우 크고 규모 측정이 어려움. 함부로 이익을 전과 같게 한다는 것도 보장할 수 없기 때문에 보수적으로 0 처리</t>
  </si>
  <si>
    <t xml:space="preserve">     후속적으로 당기손익으로 재분류될 수 있는 항목</t>
  </si>
  <si>
    <t>해외사업환산손익</t>
  </si>
  <si>
    <t>해외사업환산손익은 총자산의 금액과 각 연도의 선물환율을 이용하여 손익을 예측하였음.</t>
  </si>
  <si>
    <t>지분법자본변동</t>
  </si>
  <si>
    <t>당기총포괄이익(손실)</t>
  </si>
  <si>
    <t>지배기업의 소유주</t>
  </si>
  <si>
    <t>주당이익</t>
  </si>
  <si>
    <t>기본주당순이익 (단위 : 원)</t>
  </si>
  <si>
    <t>희석주당순이익 (단위 : 원)</t>
  </si>
  <si>
    <t>현금흐름표</t>
  </si>
  <si>
    <t>승택,준희</t>
  </si>
  <si>
    <t>영업활동 현금흐름</t>
  </si>
  <si>
    <t>2024년 기준 내용연수</t>
  </si>
  <si>
    <t>유형자산감가상각비</t>
  </si>
  <si>
    <t>사용권자산감가상각비</t>
  </si>
  <si>
    <t>무형자산상각비</t>
  </si>
  <si>
    <t>지분법관련손익</t>
  </si>
  <si>
    <t>무형자산 상각연수</t>
  </si>
  <si>
    <t>투자활동 현금흐름</t>
  </si>
  <si>
    <t>유형자산의 처분(취득)</t>
  </si>
  <si>
    <t>(1억 - 374억)</t>
  </si>
  <si>
    <t>(5억 - 1,341억)</t>
  </si>
  <si>
    <t>(5억 - 1,368억)</t>
  </si>
  <si>
    <t>(5억 - 1,408억)</t>
  </si>
  <si>
    <t>무형자산의 처분(취득)</t>
  </si>
  <si>
    <t>685,345,455(무형자산의 처분)-5,743,865,094(무형자산의 취득)</t>
  </si>
  <si>
    <t>0-40,000,000,000</t>
  </si>
  <si>
    <t>금융상품의 증감</t>
  </si>
  <si>
    <t>유입(+): 단기금융상품 회수(214,699,510,064) + 장기금융상품 회수(319,000,000) + 기타포괄손익-공정가치금융자산 처분(168,277,744,640) = 383,296,254,704원
유출(-): 단기금융상품 투자(104,128,059,294) + 장기금융상품 투자(2,344,648,286) + 당기손익-공정가치금융자산 취득(38,665,695,600) + 기타포괄손익-공정가치금융자산 취득(179,394,424,415) = 324,532,827,595원
순증감: +58,763,427,109원 (약 58.8십억원)</t>
  </si>
  <si>
    <t>단기회수(1,500억) + 장기회수(3.19억) - 단기투자(1,500억)</t>
  </si>
  <si>
    <t>단기회수(1,550억) + 장기회수(3.19억) - 단기투자(1,600억)</t>
  </si>
  <si>
    <t>단기회수(1,600억) + 장기회수(3.19억) - 단기투자(1,700억)</t>
  </si>
  <si>
    <t>재무활동 현금흐름</t>
  </si>
  <si>
    <t>단기금융부채의 증감</t>
  </si>
  <si>
    <t>(단기차입금의 차입) - (단기차입금의 상환)</t>
  </si>
  <si>
    <t>2024년: 2,530,475,488,437원 - 10,475,445,001원 = 2,520,000,043,436원 (2,530십억 원에서 상환액을 차감한 수치)
추정기(2025~): 매년 5,000억 원씩 상환하는 계획이 반영되어, 2027년에는 차입과 상환이 상쇄되어 증감이 0이 됩니다.</t>
  </si>
  <si>
    <t>장기금융부채의 증감</t>
  </si>
  <si>
    <t>(단기사채 + 사채 + 장기차입금 + 공급자금융의 차입) - (사채 + 장기차입금의 상환)</t>
  </si>
  <si>
    <t>2024년: 유입(408,317,876,334원) - 상환(62,561,949,281원) = 345,755,927,053원
374(십억원)는 단기사채+사채+장기차입금의 유입액 합계이며, 여기에 공급자금융(약 343억 원)이 추가로 포함
추정기(2025~):
2025년: (5,000억 + 10,000억) - 1,000억 = 1.4조 원
2027년: 10,000억 차입 - 19,000억 상환(대규모 상환 계획) = -9,000억 원</t>
  </si>
  <si>
    <t>자본의 증감</t>
  </si>
  <si>
    <t>$$자본의\ 증감 = (신종자본증권\ 이자지급 + 유상증자\ 등\ 자본유입) \pm DCF\ 단수\ 조정분$$</t>
  </si>
  <si>
    <t>배당금 지급</t>
  </si>
  <si>
    <t>현금 및 현금성자산의 증감</t>
  </si>
  <si>
    <t>기초현금및현금성자산</t>
  </si>
  <si>
    <t>기말현금및현금성자산</t>
  </si>
  <si>
    <t>영업활동으로 인한 현금흐름</t>
  </si>
  <si>
    <t>1. 일회성 현금흐름을 찾기(0처리)</t>
  </si>
  <si>
    <t>영업에서 창출된 현금흐름</t>
  </si>
  <si>
    <t>2. 인사이트에 연동되는 현금흐름을 찾기</t>
  </si>
  <si>
    <t>3. 나머지 Flat처리</t>
  </si>
  <si>
    <t>조정</t>
  </si>
  <si>
    <t>영업활동으로 인한 자산 부채의 변동</t>
  </si>
  <si>
    <t xml:space="preserve">     배당금 수취</t>
  </si>
  <si>
    <t xml:space="preserve">     이자의 수취</t>
  </si>
  <si>
    <t xml:space="preserve">     이자의 지급</t>
  </si>
  <si>
    <t xml:space="preserve">     법인세 부담액</t>
  </si>
  <si>
    <t>투자활동으로 인한 현금흐름</t>
  </si>
  <si>
    <t>투자활동으로 인한 현금유입액</t>
  </si>
  <si>
    <t>단기금융상품의 회수</t>
  </si>
  <si>
    <t>장기금융상품의 회수</t>
  </si>
  <si>
    <t>단기대여금의 회수</t>
  </si>
  <si>
    <t>상각후원가측정금융자산의회수</t>
  </si>
  <si>
    <t>당기손익-공정가치금융자산의처분 - 투자활동</t>
  </si>
  <si>
    <t>매각예정비유동자산의 처분</t>
  </si>
  <si>
    <t>기타포괄손익-공정가치측정금융자산의처분</t>
  </si>
  <si>
    <t>유형자산의 처분</t>
  </si>
  <si>
    <t>무형자산의 처분</t>
  </si>
  <si>
    <t>임차보증금의 회수</t>
  </si>
  <si>
    <t>투자활동으로 인한 현금유출액</t>
  </si>
  <si>
    <t>단기금융상품의 투자</t>
  </si>
  <si>
    <t>장기금융상품의 투자</t>
  </si>
  <si>
    <t>당기손익-공정가치측정금융자산의 취득</t>
  </si>
  <si>
    <t>단기대여금의 대여</t>
  </si>
  <si>
    <t>유형자산의 취득</t>
  </si>
  <si>
    <t>무형자산의 취득</t>
  </si>
  <si>
    <t>기타포괄손익-공정가치측정금융자산의취득</t>
  </si>
  <si>
    <t>관계기업에 대한 투자자산의 취득</t>
  </si>
  <si>
    <t>임차보증금의 증가</t>
  </si>
  <si>
    <t>기타투자자산의 취득</t>
  </si>
  <si>
    <t>사업결합으로 인한 순현금흐름</t>
  </si>
  <si>
    <t>장기대여금의 대여</t>
  </si>
  <si>
    <t>재무활동으로 인한 현금흐름</t>
  </si>
  <si>
    <t>재무활동으로 인한 현금유입액</t>
  </si>
  <si>
    <t>단기차입금의 차입</t>
  </si>
  <si>
    <t>단기사채의 차입</t>
  </si>
  <si>
    <t>사채의 차입</t>
  </si>
  <si>
    <t>장기차입금의 차입</t>
  </si>
  <si>
    <t>공급자금융약정으로 차입</t>
  </si>
  <si>
    <t>유상증자</t>
  </si>
  <si>
    <t>임대보증금의 증가</t>
  </si>
  <si>
    <t xml:space="preserve">     재무활동으로 인한 현금유출</t>
  </si>
  <si>
    <t>단기차입금의 상환</t>
  </si>
  <si>
    <t>사채의 상환</t>
  </si>
  <si>
    <t>유동성장기사채의 상환</t>
  </si>
  <si>
    <t>유동성장기차입금의 상환</t>
  </si>
  <si>
    <t>공급자금융약정으로 상환</t>
  </si>
  <si>
    <t>리스부채의 상환</t>
  </si>
  <si>
    <t>상환보증금의 지급</t>
  </si>
  <si>
    <t>신종자본증권 이자지급</t>
  </si>
  <si>
    <t>주식발행비 지급</t>
  </si>
  <si>
    <t>출자전환 단주대 지급</t>
  </si>
  <si>
    <t>현금및현금성자산의 증가(감소)</t>
  </si>
  <si>
    <t>기초 현금및현금성자산</t>
  </si>
  <si>
    <t>외화표시 현금및현금성자산의 환율변동효과</t>
  </si>
  <si>
    <t>기말 현금및현금성자산</t>
  </si>
  <si>
    <t>주의할 사항</t>
  </si>
  <si>
    <t>24년</t>
  </si>
  <si>
    <t>25년(추정)</t>
  </si>
  <si>
    <t>26년(추정)</t>
  </si>
  <si>
    <t>27년(추정)</t>
  </si>
  <si>
    <t>1. RSU 주식결제형 비용</t>
  </si>
  <si>
    <t>2. RSU 현금결제형 비용</t>
  </si>
  <si>
    <t>25년 부여분을 최대한 주식결제형으로 전환시키고 남은 부분만 24년에서 조건변경했다는 가정을 하여 계산한다. (474,876주 -임원조건변경23,480주 = 451,396주)</t>
  </si>
  <si>
    <t>25년 1~3분기 주식기준보상 장기미지급비용 증분</t>
  </si>
  <si>
    <t>24년 부여분으로인한 3Q25 장기미지급비용</t>
  </si>
  <si>
    <t>25년 부여분으로 인한 3Q25 장기미지급비용</t>
  </si>
  <si>
    <t>역산한 25년 부여 주식결제형 일시가득수량</t>
  </si>
  <si>
    <t>&lt;==========</t>
  </si>
  <si>
    <t>현금결제형으로부터 일시가득과 일반옵션비율을 역산하면 일시 : 0.494, 일반 = 0.506</t>
  </si>
  <si>
    <t>역산한 25년 부여 주식결제형 가득중인 수량</t>
  </si>
  <si>
    <t>역산한 25년 부여 주식결제형 옵션 공정가치</t>
  </si>
  <si>
    <t>25년 한화오션 종가</t>
  </si>
  <si>
    <t>25년 추정 장기미지급비용</t>
  </si>
  <si>
    <t>역산한 25년 부여 현금결제형 일시가득수량</t>
  </si>
  <si>
    <t>역산한 25년 부여 현금결제형 가득중인 수량</t>
  </si>
  <si>
    <t>3. 감가상각비 유형자산에 나온 값과 사업부별로 구해서 다 합친 값이 왜 다른지?</t>
  </si>
  <si>
    <t>4. 사업결합으로 수주잔고 같은 이상한 무형자산 추가됐는데 어떻게 처리할지?(23년 평균 내용연수 17년, 24년 평균내용연수 7.5년)</t>
  </si>
  <si>
    <t>Ni</t>
  </si>
  <si>
    <t>Dep</t>
  </si>
  <si>
    <t>비현금성항목</t>
  </si>
  <si>
    <t>-Capex(유출)</t>
  </si>
  <si>
    <t>∆B</t>
  </si>
  <si>
    <t>∆NWC</t>
  </si>
  <si>
    <t>FCFE</t>
  </si>
  <si>
    <t>작성자</t>
  </si>
  <si>
    <t>답변</t>
  </si>
  <si>
    <t>근거(링크)</t>
  </si>
  <si>
    <t>한화오션 밸류체인 장표</t>
  </si>
  <si>
    <t>1. 공급처</t>
  </si>
  <si>
    <t>1.1. 공급되는 인력과 원자재의 변동성은 예측 가능한 수준인가?</t>
  </si>
  <si>
    <t>외국인 근로자의 비중이 높아 안정성에 영향을 미칠 수 있으나 고용노동부에서 외국인근로자 고용허가제(E-9)을 통해 그 수요를 충족할 수 있도록 '조선업 인력수급TF'를 별도로 신설하여 관리하는 것으로 보아 외국인 노동자의 유입은 제한이 없는 것으로 보여짐.</t>
  </si>
  <si>
    <t>https://www.moel.go.kr/news/enews/report/enewsView.do?news_seq=18774</t>
  </si>
  <si>
    <t>인건비(process영역) 고정비와 변동비의 구분이 필요함. 직접 고용된 직원의 경우에도 제조원가로 가는 비중이 크지만 이 비용은 정규직 근로자의 비중이 압도적으로 높아서 제조비용이지만 고정비의 성격을 띤다. 한편 소속 외 근로자의 경우에는 주로 하청직원이기에 변동비의 성격이 강하다.</t>
  </si>
  <si>
    <t>사업보고서 - 직원 등 현황, 비용의 성격별 분류 中 종업원 비용</t>
  </si>
  <si>
    <t>조선업 총원가 中 자재비가 70%, 탱크선과 벌크선의 자재비 구성비율 : 철판 40, 40 기관장비 20, 28 갑판장비 20. 17 기타 20, 15</t>
  </si>
  <si>
    <t>https://brunch.co.kr/@jbleev/29</t>
  </si>
  <si>
    <t>2011년 책 자료라 달라졌을수도?</t>
  </si>
  <si>
    <t>후판과 엔진은 개별 선종별 비중을 활용하여 비용을 27년까지 추정, 그 후에는 일반엔진의 CAGR인 3%로 상승가정(단순 기간안분 or S-Curve 모델 사용하여 20-50-30 안분방식 채택할지 결정필요)</t>
  </si>
  <si>
    <t>조선업은 주로 헤비테일 현금흐름이다. 따라서 DCF에서 IS의 매출액 자료를 기반(진행률기반 수익인식)으로 원가율을 곱해 현금흐름을 도출하고자하면 시점의 오류로 느껴질 수 있다. 하지만 이러한 시점의 차이는 NWC(계약자산)에서 조정되어 그 차이의 영향이 미미하도록 조정될 것이다.</t>
  </si>
  <si>
    <t>1.2. 한화오션의 파트너는 누구이며 시장 내 어떤 입지를 갖고 있는가?</t>
  </si>
  <si>
    <t>추진 엔진(HD현대중공업, 한화엔진), LNG화물창(GTT - 한화오션이 LNG선 수주시마다 선가의 약 5%를 로열티로 지급),발전기용 엔진(HD현대중공업), 카고펌프(Framo), 프로펠러(MMG), 항해 및 통신장비(Furuno), 선박 평형수 처리 장치(Alfa Laval, 파나시아)</t>
  </si>
  <si>
    <t>https://m.ekn.kr/view.php?key=20251020024237609</t>
  </si>
  <si>
    <t>1.3. 한화오션은 공급자에게 어떤 입지를 갖고 있는가?</t>
  </si>
  <si>
    <t>후판시장은 어차피 국내 제철회사들에게서 떼오는 상황임. 관세 때문에 중국이 진입할 여지는 많지 않은듯.</t>
  </si>
  <si>
    <t>한화오션 DART</t>
  </si>
  <si>
    <t>중요한건 엔진, 엔진은 한화엔진과 HD현대중공업으로부터 수입해오고 있는 실정. 현재 한화엔진은 가동률이 94% 정도로, 수주 시차를 고려해봤을 때 부족한 capa일 수 있음.</t>
  </si>
  <si>
    <t>한화엔진 DART</t>
  </si>
  <si>
    <t>현재 기계장치 장부가 6백억에서 2,200억 capex를 계획하고 있음. 필리조선소의 함선 건조능력이 연간 1.5척(텐덤공법으로 한 도크당 1년에 4대정도 건조 가능, 도크를 2개 더 늘려서 총 4x4 =16이 됨, 거기에 설비보강과 프로세스 개선으로 도크당 5대 목표)에서 최대 20척으로 증강될 것이며, 거제조선소의 현재 건조능력이 연간 36척임.</t>
  </si>
  <si>
    <t>선박엔진 별도로 잡아도 capex 322% 증가이기 때문에 한화오션의 향후 capa를 따라잡을 수 있을 것으로 예상됨.</t>
  </si>
  <si>
    <t>요약: 후판은 셀러와 P 예측 가능. 엔진은 한화엔진만 쓰고 있고, 한화엔진도 업황과 매출을 연동하지 않는 모습을 보이고 있음.</t>
  </si>
  <si>
    <t>1.4. 하청업체</t>
  </si>
  <si>
    <t>1.4.1. 한화오션의 BM에서 하청업체가 차지하는 공급규모는 어느정도인가?</t>
  </si>
  <si>
    <t xml:space="preserve">한화오션의 원청 60% 정도가 협력사 공급임. </t>
  </si>
  <si>
    <t>YTN</t>
  </si>
  <si>
    <t>1.4.2. 선박 종류마다의 하청 비율은?(알수 있을지는 모르겠음)</t>
  </si>
  <si>
    <t>그냥 전체 비율로 미는게 나을듯</t>
  </si>
  <si>
    <t>2. 시장(MRO/신규건조 분야와 상선/특수선/플랜트 분야로 나눌 수 있음)</t>
  </si>
  <si>
    <t>2.1. 매크로분석</t>
  </si>
  <si>
    <t>2.1.1. 시장의 P와 Q는 각각 얼마이며 성장 가능성은 어느정도인가? (전체적인 금액규모를 제시해도 괜찮음)</t>
  </si>
  <si>
    <t>2.1.1.1 신규수주</t>
  </si>
  <si>
    <t>2025년 1월부터 11월까지의 누적 선박 수주량은 4천499만CGT 수준. CGT는 제조상의 부가가치를 계산하기 위한 환산톤수.</t>
  </si>
  <si>
    <t>KITA</t>
  </si>
  <si>
    <t>네이버 선박항해용어사전</t>
  </si>
  <si>
    <t>작년에 비해 수주량이 7,822만 CGT에서 5,710만 CGT로  37% 감소, Q가 절대적으로 약해졌음. 그럼에도 불구하고 한국의 수주량은 작년과 비슷한 수준의 수주량을 보여줌으로써 건재한 모습을 보이고 있음. 현재 총 1,003만 CGT로 점유율 20%</t>
  </si>
  <si>
    <t>연합뉴스</t>
  </si>
  <si>
    <t>뉴스투데이(CGT기준)</t>
  </si>
  <si>
    <t>IMO 친환경조치가 1년 연기되면서 친환경선박 발주에 대한 니즈가 관망세로 돌아섰음.</t>
  </si>
  <si>
    <t>해사신문</t>
  </si>
  <si>
    <t>P는 정해져있음, 그러나 원자재 가격변동에 따라 달라지는 모습을 보임(확인 필요). 우선 수주와 건조 간의 시차가 존재하기 때문에 DCF 하는 동안 매출은 고정일 수밖에 없을 듯</t>
  </si>
  <si>
    <t>한국해양조선 신조선가, 중고선가</t>
  </si>
  <si>
    <t>한화오션 수주잔고 소폭증가</t>
  </si>
  <si>
    <t>e-나라지표 후판가격동향</t>
  </si>
  <si>
    <t xml:space="preserve">KITA피셜 LNGC $248M VLCC $127.5M 컨테이너선 $264M, 한화오션 3개년 선표 평균가는 LNGC $251.7M VLCC $128.9M 컨테이너선 $214.7M </t>
  </si>
  <si>
    <t>DART</t>
  </si>
  <si>
    <t>2.1.1.2. MRO</t>
  </si>
  <si>
    <t>P는 약하다. 매출 견인요소는 아니지만 회전율이 빠르고 마진이 신규수주에 비해 높기 때문에 매력적인 시장임. 한화오션 역시 미 해군 MRO 시장에 진입했음.</t>
  </si>
  <si>
    <t>KPMG 리포트</t>
  </si>
  <si>
    <t>특히 탄소배출규제가 심해지면서 MRO를 통해 기존 선박에 탄소저감장치를 추가하려고 함(OCCS). Q의 상승 요인. 그러나 상술했듯 IMO조치가 연기되면서 불투명해졌음.</t>
  </si>
  <si>
    <t>FKI 리포트 7p</t>
  </si>
  <si>
    <t>2.1.2. 시장의 본질이 셀러마켓인가 바이어마켓인가? 사이클이 존재하는가?</t>
  </si>
  <si>
    <t>현재 조선사들의 capa가 수요를 못따라갈 정도인건 맞지만, 조선기업 수가 많기 때문에 셀러마켓은 아님.</t>
  </si>
  <si>
    <t>다만 30년 주기의 슈퍼사이클이 존재하며 이전 사이클에서의 선박은 활동기간이 23년 이상이다.</t>
  </si>
  <si>
    <t>한화저널</t>
  </si>
  <si>
    <t>사이클이 도래하는 것을 확인하기 위해서는 선박의 기대수명뿐 아니라 해운 물동량과 환경규제 등을 자세하게 살펴봐야 함.</t>
  </si>
  <si>
    <t>2.2. 경쟁기업 분석</t>
  </si>
  <si>
    <t>2.2.1. 현재 조선업 시장 내 경쟁기업은 누구인가?</t>
  </si>
  <si>
    <t>현재는 중국이 조선업계 통폐합 후 2024년 기준 세계 선박완공량의 54.57%를 잡고 있음. 한국이 28.02%, 일본이 12.56%를 잡고 있음.</t>
  </si>
  <si>
    <t>UN 선박신조완공량</t>
  </si>
  <si>
    <r>
      <rPr>
        <u/>
        <sz val="10"/>
        <color rgb="FF1155CC"/>
        <rFont val="Arial"/>
        <family val="2"/>
      </rPr>
      <t>한국 조선업 수주 점유율 20%대 회복…5년 만에 중국과 격차 좁혀</t>
    </r>
    <r>
      <rPr>
        <sz val="10"/>
        <color rgb="FF000000"/>
        <rFont val="Arial"/>
        <family val="2"/>
        <scheme val="minor"/>
      </rPr>
      <t xml:space="preserve"> 이게 더 최신 업데이트를 반영한 것 같아 첨부합니다.</t>
    </r>
  </si>
  <si>
    <t>국내 경쟁기업은 삼성중공업과 HD현대중공업이 있으며, 작년 기준 1위: HD현대중공업(893만 CGT), 2위: 삼성중공업(872만 CGT), 3위: 한화오션(849만 CGT)로 비등한 점유율을 보이고 있음</t>
  </si>
  <si>
    <t>KBS뉴스</t>
  </si>
  <si>
    <t>일본과 중국은 각각 1,2위 조선기업들을 통폐합하여 강력하게 국가주도로 밀고나갈 생각을 하고 있음. 기업 자체의 규모로 보면 우리가 밀리는 것이 당연할 수 있음. 국가 자체의 점유율을 확인하고 국내 조선업계 점유율은 CGT로 환산할 수 있을듯</t>
  </si>
  <si>
    <t>2.2.2. 경쟁기업들의 재무구조(멀티플, 부채비율, 시장점유율 등) 분석</t>
  </si>
  <si>
    <t>FnGuide</t>
  </si>
  <si>
    <t>멀티플(24년 말 기준)</t>
  </si>
  <si>
    <t>삼성중공업</t>
  </si>
  <si>
    <t>HD현대중공업</t>
  </si>
  <si>
    <t>한화오션</t>
  </si>
  <si>
    <t>P/E</t>
  </si>
  <si>
    <t>EV/EBITDA</t>
  </si>
  <si>
    <t>EV/S</t>
  </si>
  <si>
    <t>시장점유율(2024년 수주 CGT 기준)</t>
  </si>
  <si>
    <t xml:space="preserve">   &lt;&lt;&lt;  CGT 말고 선박 수주내역을 더 찾아서 선종당 점유율을 찾으면 좋을듯</t>
  </si>
  <si>
    <t>B/S</t>
  </si>
  <si>
    <t>big 3외에도 다른 조선사들 점유율이 유의미하여 big3 외에는 기타 항목으로라도 포함하여 점유율을 다시 계산하는 게 좋을 듯</t>
  </si>
  <si>
    <t>매출총이익률</t>
  </si>
  <si>
    <t>2.2.3. 경쟁기업들과 한화오션 사이의 시장 관점에서의 관계 분석(경쟁인지 독과점인지, 반제품을 제조 및 공유하는 상황인지, 각각의 해자는 어떤 것이 존재하는지 등)</t>
  </si>
  <si>
    <t>재무지표(25Q3 기준)</t>
  </si>
  <si>
    <t>삼성중공업, HD현대중공업, 한화오션은 각각 경쟁하는 시장. 국내 관점에서는 독과점으로 보일 수 있지만 세계적으로는 경쟁이기 때문에 시장이 옳게 돌아감</t>
  </si>
  <si>
    <t>특히 엔진의 경우 한화엔진 외에도 HD현대중공업에게서 매입하기도 하므로 완전한 경쟁시장이라고 생각됨</t>
  </si>
  <si>
    <t>경쟁시장에 비하여 한화오션이 갖는 우위는 필리조선소가 있을듯</t>
  </si>
  <si>
    <t>엔진/후판 공급은 계열사가 맡아주고 있지만 그건 HD도 똑같음, 군수함에 대한 트랙레코드도 HD가 더 큼, capa도 더 크고 여러모로 한화오션이 많이 딸리는 것이 사실임.</t>
  </si>
  <si>
    <t>그러나 필리조선소를 인수할 정도의 강단은 국내 조선사 중 누구도 해내지 못했음. 전부 MOU 결정. 유연한 대처냐, 레버리지냐의 구도로 MASGA 시장이 판가름날듯</t>
  </si>
  <si>
    <t>삼성중공업은 비거마린그룹과 MOU를 했는데, MRO전문 회사임. 미국 내 MRO 경쟁자</t>
  </si>
  <si>
    <t>비즈니스포스트</t>
  </si>
  <si>
    <t>HD현대도 미국 내 군함 및 상선 조선소와 MOU를 체결함. 신규수주 및 MRO 가능하고 동남아, 중동 조선소까지 있어서 세계적으로는 저가형 선박 건조에 강점</t>
  </si>
  <si>
    <t>결론적으로 하도급 대우가 비슷한만큼 노동복지 리스크가 엄청나게 크지는 않음</t>
  </si>
  <si>
    <t>노랑봉투법 대비 하도급 뉴스</t>
  </si>
  <si>
    <t>그러나 하도급 현금결제비율 및 재하청 비율이 타 동종기업에 비해 높은것으로 나타났다는 기사가 많음</t>
  </si>
  <si>
    <t>2024 노동자 실태조사</t>
  </si>
  <si>
    <t>고용노동부 실태조사가 있었다고는 하지만 사실 보고서로 나오진 않았음</t>
  </si>
  <si>
    <t>2023 하도급 실태조사</t>
  </si>
  <si>
    <t>3. 수요처</t>
  </si>
  <si>
    <t>3.1. 수요자 선종</t>
  </si>
  <si>
    <t>3.1.1. 수요자들이 원하는 유형의 선종은 무엇이 있는가? (현재 거래되는 시장의 선종을 의미)</t>
  </si>
  <si>
    <t>트럼프가 FTA 미체결국 대상 LNG 수출 허가 재개하며 LNG 생산량 빠르게 증가, LNG선의 시장 내 비중 더욱 커질 것</t>
  </si>
  <si>
    <t>https://www.asiae.co.kr/article/2025090908123068152</t>
  </si>
  <si>
    <t>노후선 교체 + 중국의 원유 비축 확대, 사우디의 원유가격 인하로  인한 원유 수요 증가로 VLCC선(유조선) 수요 증가. 거래는 주로 중국과 그리스가 주도, 다만 가장 큰 매입자는 비공개 법인. 원유 수급 상황 변화에 따라 VLCC선 수요가 크게 좌우</t>
  </si>
  <si>
    <t>https://www.shippingvoice.kr/news/articleView.html?idxno=8274</t>
  </si>
  <si>
    <t>3.1.2. 각 선종의 발주 비율?</t>
  </si>
  <si>
    <t>최근 3개년 신규 수주 계약 - LNGC 37척, Containership 23척, VLCC 24척 (그 외 수상함 4척, VLGC 2척, FRSU 1척, 군수지원함 1척, LPG운반선 10척, 잠수함 1척)</t>
  </si>
  <si>
    <t>dart</t>
  </si>
  <si>
    <t>https://file.alphasquare.co.kr/media/pdfs/company-ir/20250729%ED%95%9C%ED%99%94%EC%98%A4%EC%85%98_2025%EB%85%84_2%EB%B6%84%EA%B8%B0_%EA%B2%BD%EC%98%81%EC%8B%A4%EC%A0%81_%EB%B0%9C%ED%91%9C.pdf</t>
  </si>
  <si>
    <t>But, "미공개 거래" 포함 X 수치임</t>
  </si>
  <si>
    <t>VLCC 노후선 교체 수요가 꾸준히 발생할 것</t>
  </si>
  <si>
    <t>3.1.3. 각 선종이 필요한 기술력이나 원자재?(VLCC, 일반탱커, LNGC, LPGC, LNG추진선, 군함(수상함, 군수지원함 등) Barge선, 플랜트 등)</t>
  </si>
  <si>
    <t>선종</t>
  </si>
  <si>
    <t>핵심 기술</t>
  </si>
  <si>
    <t>필수 원자재</t>
  </si>
  <si>
    <t>핵심 관리 포인트</t>
  </si>
  <si>
    <t>주요 공급사/파트너</t>
  </si>
  <si>
    <t>VLCC 및 일반 탱커</t>
  </si>
  <si>
    <t>에너지 저감 장치(ESD), CFD 기반 선형 설계</t>
  </si>
  <si>
    <t>후판(Thick Plate), 내부식성 강재(CRS), TMCP 고장력강</t>
  </si>
  <si>
    <t>후판 가격 변동 리스크 관리, 중국산 후판 믹스 전략</t>
  </si>
  <si>
    <t>포스코, 현대제철, 중국 철강사</t>
  </si>
  <si>
    <t>LNGC (LNG 운반선)</t>
  </si>
  <si>
    <t>화물창 격납 시스템(CCS), BOG 재액화 시스템</t>
  </si>
  <si>
    <t>인바강(Invar), 스테인리스강(SUS 304L), 강화 폴리우레탄 폼(R-PUF)</t>
  </si>
  <si>
    <t xml:space="preserve">GTT 로열티 부담, 극저온 소재 국산화(인바, 고망간강) </t>
  </si>
  <si>
    <t>GTT, Aperam, 포스코, 한국카본, 동성화인텍</t>
  </si>
  <si>
    <t>LPGC (가스선)</t>
  </si>
  <si>
    <t xml:space="preserve">저온 가스 핸들링, 심정 펌프 기술 </t>
  </si>
  <si>
    <t xml:space="preserve">저온 탄소강(LTCS), 5% 니켈강, 스테인리스강 </t>
  </si>
  <si>
    <t>온도 대역별 소재 최적화(에틸렌 vs 프로판)</t>
  </si>
  <si>
    <t>국내외 특수강 업체</t>
  </si>
  <si>
    <t>LNG 추진선</t>
  </si>
  <si>
    <t xml:space="preserve">연료 가스 공급 시스템(FGSS) - 고압/저압 </t>
  </si>
  <si>
    <t>고망간강(HMS), 9% 니켈강</t>
  </si>
  <si>
    <t xml:space="preserve">니켈 의존도 탈피 및 국산 소재 자립화 </t>
  </si>
  <si>
    <t>포스코(고망간강 독점), 한화엔진</t>
  </si>
  <si>
    <t>군함 (수상함, 잠수함 등)</t>
  </si>
  <si>
    <t>스텔스(RCS 저감), 통합 전투 체계(TSCE)</t>
  </si>
  <si>
    <t>초고강도강(HY-80/100), 기가스틸, 전파흡수체(RAM), 음향타일</t>
  </si>
  <si>
    <t>국산화율 제고(80% 목표), 생존성 및 은밀성 확보</t>
  </si>
  <si>
    <t xml:space="preserve">포스코, 한화시스템, 삼양컴텍 </t>
  </si>
  <si>
    <t>해양 플랜트 (FPSO, WTIV)</t>
  </si>
  <si>
    <t xml:space="preserve">계류 및 터렛 시스템, 잭업 시스템 </t>
  </si>
  <si>
    <t xml:space="preserve">R4/R5 등급 체인, 슈퍼 듀플렉스 스테인리스강, 티타늄 </t>
  </si>
  <si>
    <t xml:space="preserve">극한 환경 내부식성 확보, 자재 규격 표준화 설계 </t>
  </si>
  <si>
    <t xml:space="preserve">SBM, MODEC, 포스코 </t>
  </si>
  <si>
    <t>Barge선</t>
  </si>
  <si>
    <t xml:space="preserve">저비용 구조 설계 </t>
  </si>
  <si>
    <t>ASTM A36(일반), ABS Grade A(원양용)</t>
  </si>
  <si>
    <t xml:space="preserve">자재 로스율(Scrap Rate) 최소화로 원가 경쟁력 확보 </t>
  </si>
  <si>
    <t xml:space="preserve">국내외 범용 강재 공급사 </t>
  </si>
  <si>
    <t>3.1.4. 각 선종의 전망은? (사이클이나 수요 수준)</t>
  </si>
  <si>
    <r>
      <rPr>
        <b/>
        <sz val="10"/>
        <color theme="1"/>
        <rFont val="Arial"/>
        <family val="2"/>
      </rPr>
      <t>LNG</t>
    </r>
    <r>
      <rPr>
        <sz val="10"/>
        <color theme="1"/>
        <rFont val="Arial"/>
        <family val="2"/>
      </rPr>
      <t>: 북미의 초대형 LNG 프로젝트로 발주 급증. 50~100척 예상. 한국 조선 3사의 온전한 수혜 예상 (중국의 CSSC의 운반선 기술은 군함으로 연결될 가능성이 있어 한국 조선사의 독점 구도 전망)</t>
    </r>
  </si>
  <si>
    <t>https://www.khan.co.kr/article/202502061612001</t>
  </si>
  <si>
    <t>https://www.energydaily.co.kr/news/articleView.html?idxno=162457</t>
  </si>
  <si>
    <t>3개년 dart</t>
  </si>
  <si>
    <t>핵심 수출국인 카타르 1,400만톤 확대할것으로 발표, 최소 200척 규모의 발주 (카타르 국영 해운사가 한국 수출입은행과 금융 협정을 맺어 25척 건조 자금 마련하여 국내 조선사에서 이뤄질것이 유력)</t>
  </si>
  <si>
    <t>https://www.newstomato.com/ReadNews.aspx?no=1280289</t>
  </si>
  <si>
    <t>https://securities.miraeasset.com/bbs/download/2140194.pdf?attachmentId=2140194</t>
  </si>
  <si>
    <t>LNGC</t>
  </si>
  <si>
    <t>아프리카</t>
  </si>
  <si>
    <r>
      <rPr>
        <b/>
        <sz val="10"/>
        <color theme="1"/>
        <rFont val="Arial"/>
        <family val="2"/>
      </rPr>
      <t>VLCC</t>
    </r>
    <r>
      <rPr>
        <sz val="10"/>
        <color theme="1"/>
        <rFont val="Arial"/>
        <family val="2"/>
      </rPr>
      <t xml:space="preserve"> 운임이 올해 크게 오르면서 노후선 교체 수요로 발주가 확대될 가능성이 커지고, 한국 조선사들이 이 수혜를 받을 전망.</t>
    </r>
  </si>
  <si>
    <t>https://www.hankyung.com/article/202509232490i</t>
  </si>
  <si>
    <t>VLCC</t>
  </si>
  <si>
    <t>오세아니아</t>
  </si>
  <si>
    <t>3.2. 수요자 유인</t>
  </si>
  <si>
    <t>Containership</t>
  </si>
  <si>
    <t>유럽</t>
  </si>
  <si>
    <t>3.2.1. 수요자들이 지역으로 나뉘는데, 지정학적/경제적 구매 유인이 있다면? 그중에서도 한화오션만이 갖는 특수한 유인이 있다면? (2.2.2 와 공유되는 지점)</t>
  </si>
  <si>
    <t>차세대 쇄빙연구선</t>
  </si>
  <si>
    <t>북미, 미주</t>
  </si>
  <si>
    <t>미 행정부가 중국 1위 국영조선사(CSSC)를 중국 군사 기업으로 간주해 블랙리스트 등재. 국내 조선 3사 주문쏠림 가속화될것</t>
  </si>
  <si>
    <t>https://www.news1.kr/industry/general-industry/5662382</t>
  </si>
  <si>
    <t>MCS Plant</t>
  </si>
  <si>
    <t>양밍해운 (대만)</t>
  </si>
  <si>
    <t>대중국 조선 제재 영향으로 중 수주점유율 하락, 한국 수주점유율 상승</t>
  </si>
  <si>
    <t>수상함</t>
  </si>
  <si>
    <t>필리조선소</t>
  </si>
  <si>
    <t>최근 3개년 신규 수주 계약 - 오세아니아 11건, 아시아 6건</t>
  </si>
  <si>
    <t>VLGC</t>
  </si>
  <si>
    <t>국내 극지연구소</t>
  </si>
  <si>
    <t>오세아니아에서의 발주가 많은 이유는 편의치적국이기 때문. 세제혜택을 위해 선주가 제3국인 오세아니아에 등록한 것</t>
  </si>
  <si>
    <t>https://www.mk.co.kr/news/business/11433147</t>
  </si>
  <si>
    <t>FSRU</t>
  </si>
  <si>
    <t>아시아</t>
  </si>
  <si>
    <t>군수지원함</t>
  </si>
  <si>
    <t>한화에어로스페이스</t>
  </si>
  <si>
    <t>https://m.imfnsec.com:442/upload/R_E09/2025/12/[02071019]_252099.pdf</t>
  </si>
  <si>
    <t>LPG 운반선</t>
  </si>
  <si>
    <t>국방부</t>
  </si>
  <si>
    <t>잠수함</t>
  </si>
  <si>
    <t>중동</t>
  </si>
  <si>
    <t>104척</t>
  </si>
  <si>
    <t>4. 지배구조</t>
  </si>
  <si>
    <t>4.1. 한화오션의 지분 비율</t>
  </si>
  <si>
    <t>연결 자본총계(순자산)</t>
  </si>
  <si>
    <t>412.1533451579억원</t>
  </si>
  <si>
    <t>*신한우이 해상풍력 사업</t>
  </si>
  <si>
    <t>한화오션과 현대건설이 공동으로 수행하며, 총 계약금액은 2조6,400억원이다. 이 가운데 한화오션의 계약금액은 1조9,716억원이다. PF(프로젝트파이낸싱) 주선기관으로 산업은행과 국민은행을 선정하여 PF 절차를 진행중이다. 국내 신재생에너지 분야 투자를 위해 산업은행과 5대 시중은행이 조성한 미래에너지펀드가 지분출자와 후순위 대출을 포함해 5,440억원을 투자할 계획이며, 26년 초에 성공적으로 PF를 완료할 것으로 예상된다. 한화오션에 따르면 신안우이 해상풍력 사업은 전라남도 신안군 우이도 남동 측 해역에 390메가와트(㎿) 규모의 해상풍력 단지를 조성하는 대형 프로젝트다. 한화오션이 조선·해양을 넘어 친환경 에너지 인프라 분야로 사업을 확장하고, 국내 기업이 주도하는 해상풍력 사업이란 점에서 의미가 크다.</t>
  </si>
  <si>
    <t>4.2. 경영진 및 이사진의 변동 가능성 분석</t>
  </si>
  <si>
    <t>중국 상무부는 2025년 10월 기준으로 한화오션의 미국 기업 5곳을 자회사(Subsidiaries)로 지목하며 제재했다고 발표했습니다. 중국 정부의 한화오션 미 자회사 5곳 제재 발표에 오름폭이 커졌는데, 미·중 무역 갈등이 재부각되면서 위험회피 심리가 되살아난 영향으로 해석됩니다. (공시 및 언론보도 포함)</t>
  </si>
  <si>
    <t>Hanwha Shipping LLC</t>
  </si>
  <si>
    <t>Hanwha Philly Shipyard Inc.</t>
  </si>
  <si>
    <t>Hanwha Ocean USA International LLC</t>
  </si>
  <si>
    <t>Hanwha Shipping Holdings LLC</t>
  </si>
  <si>
    <t>HS USA Holdings Corp.</t>
  </si>
  <si>
    <t>4.3. 자회사의 수, 역할, 지분구조, 지분상 가치</t>
  </si>
  <si>
    <t>한화해양공정(산동)유한공사</t>
  </si>
  <si>
    <t>선박부품 제작</t>
  </si>
  <si>
    <t>DSME Kazakhstan LLP</t>
  </si>
  <si>
    <t>선박수리 및 기술지원</t>
  </si>
  <si>
    <t>한화오션에코텍(주)</t>
  </si>
  <si>
    <t>Hanwha Ocean USA Holdings Corp.</t>
  </si>
  <si>
    <t>지주회사</t>
  </si>
  <si>
    <t>투자업</t>
  </si>
  <si>
    <t>Hanwha Ocean Americas LLC(*1)</t>
  </si>
  <si>
    <t>마케팅</t>
  </si>
  <si>
    <t>Hanwha Ocean Global Operation Center LLC</t>
  </si>
  <si>
    <t>해양 서비스</t>
  </si>
  <si>
    <t>Hanwha Ocean Global Project Center B.V.</t>
  </si>
  <si>
    <t>해양 설계</t>
  </si>
  <si>
    <t>Hanwha Drilling LLC</t>
  </si>
  <si>
    <t>시추업</t>
  </si>
  <si>
    <t>Tidal Action LLC</t>
  </si>
  <si>
    <t>Hanwha Ocean Brazil LTDA(*1)</t>
  </si>
  <si>
    <t>영업지원</t>
  </si>
  <si>
    <t>Hanwha Ocean Global Engineering Center</t>
  </si>
  <si>
    <t>India Private Limited</t>
  </si>
  <si>
    <t>Hanwha Ocean Europe Ltd.</t>
  </si>
  <si>
    <t>품질검사</t>
  </si>
  <si>
    <t>한화오션엔지니어링(주)</t>
  </si>
  <si>
    <t>개발사업</t>
  </si>
  <si>
    <t>고군산해상풍력 주식회사</t>
  </si>
  <si>
    <t>민간개발</t>
  </si>
  <si>
    <t>천장산풍력 주식회사</t>
  </si>
  <si>
    <t>풍력발전</t>
  </si>
  <si>
    <t>보령녹도해상풍력 주식회사</t>
  </si>
  <si>
    <t>영광칠해해상풍력 주식회사</t>
  </si>
  <si>
    <t>*0은 의결권 없는 우선주만 보유</t>
  </si>
  <si>
    <t>에쿼티 부분이 확실히 무거웠기 때문에 별도 취급을 고민했었으나, 에쿼티팀의 의견에 따라 통합 리포트를 작성하기로 결정</t>
  </si>
  <si>
    <t>왜 하는건지에 대해서 생각하는 것이 맨 처음</t>
  </si>
  <si>
    <t xml:space="preserve">수요와 공급이 빠졌다. 매크로적인 분석 이후에는 경쟁기업 </t>
  </si>
  <si>
    <t>우리가 공부하는 시간은 한정된 시간. 현직에 나가고 나면 욕심부릴 시드가 없다</t>
  </si>
  <si>
    <t>1.하드스킬</t>
  </si>
  <si>
    <t>2. 논리성</t>
  </si>
  <si>
    <t>3.수치적 누락</t>
  </si>
  <si>
    <t>선배한테 물어보기</t>
  </si>
  <si>
    <t>탱커</t>
  </si>
  <si>
    <t>컨테이너선</t>
  </si>
  <si>
    <t>LNG운반선</t>
  </si>
  <si>
    <t>2027 추정치</t>
  </si>
  <si>
    <t>2026 추정치</t>
  </si>
  <si>
    <t>2025 추정치</t>
  </si>
  <si>
    <t>비중(매출액 대비)</t>
  </si>
  <si>
    <t>비중</t>
  </si>
  <si>
    <t>상선강재</t>
  </si>
  <si>
    <t>강재</t>
  </si>
  <si>
    <t>상선엔진</t>
  </si>
  <si>
    <t>해당 수치는 과거 자료이므로 최신 트렌드인 듀얼엔진의 통상적인 asp프리미엄 20%를 가산해야함(DF엔진=85%정도)</t>
  </si>
  <si>
    <t>엔진</t>
  </si>
  <si>
    <t>상선기타자재비</t>
  </si>
  <si>
    <t>기기•장비</t>
  </si>
  <si>
    <t>그 외 선종 매출원가</t>
  </si>
  <si>
    <t>배관재</t>
  </si>
  <si>
    <t>상선변동인건비</t>
  </si>
  <si>
    <t>선실재</t>
  </si>
  <si>
    <t>상선고정인건비</t>
  </si>
  <si>
    <t>전장재</t>
  </si>
  <si>
    <t>철의장</t>
  </si>
  <si>
    <t>기타</t>
  </si>
  <si>
    <t>철광석선물</t>
  </si>
  <si>
    <t>열연코일선물</t>
  </si>
  <si>
    <t>상선 평균</t>
  </si>
  <si>
    <t>특수선 평균</t>
  </si>
  <si>
    <t>강재비율</t>
  </si>
  <si>
    <t>?</t>
  </si>
  <si>
    <t>엔진비율</t>
  </si>
  <si>
    <t>영업이익률</t>
  </si>
  <si>
    <t>매출원가율</t>
  </si>
  <si>
    <t>매출액비중</t>
  </si>
  <si>
    <t>상선</t>
  </si>
  <si>
    <t>특수선</t>
  </si>
  <si>
    <t>해양</t>
  </si>
  <si>
    <t>E&amp;I</t>
  </si>
  <si>
    <t>판관비 비중</t>
  </si>
  <si>
    <t>인건비</t>
  </si>
  <si>
    <t>2026추정치</t>
  </si>
  <si>
    <t>2025추정치</t>
  </si>
  <si>
    <t>고정비성격</t>
  </si>
  <si>
    <t>직원</t>
  </si>
  <si>
    <t>임원</t>
  </si>
  <si>
    <t>주식기준보상</t>
  </si>
  <si>
    <t>변동비성격</t>
  </si>
  <si>
    <t>하청직원</t>
  </si>
  <si>
    <t>항목</t>
  </si>
  <si>
    <t>2022년 (연간)</t>
  </si>
  <si>
    <t>2023년 (연간)</t>
  </si>
  <si>
    <t>2024년 (연간)</t>
  </si>
  <si>
    <t>2025년 (3분기 누적) 연환산</t>
  </si>
  <si>
    <t>평균 인건비 비중</t>
  </si>
  <si>
    <t>① 매출원가 (COGS)</t>
  </si>
  <si>
    <t>② 종업원급여</t>
  </si>
  <si>
    <t>③ 외주가공비</t>
  </si>
  <si>
    <t>④ 인건비 합계 (②+③)</t>
  </si>
  <si>
    <t>⑤ 인건비 비중</t>
  </si>
  <si>
    <t>판관비</t>
  </si>
  <si>
    <t>분류</t>
  </si>
  <si>
    <t>성장률</t>
  </si>
  <si>
    <t>근거</t>
  </si>
  <si>
    <t>종업원급여, 퇴직급여</t>
  </si>
  <si>
    <t>고정비</t>
  </si>
  <si>
    <t>CPI</t>
  </si>
  <si>
    <t>정규직 판관 인력의 인건비로, 물가 상승률에 연동됩니다.</t>
  </si>
  <si>
    <t>관리용역비</t>
  </si>
  <si>
    <t>전산, 경비 등 외부 용역 계약 비용으로 고정비 성격이 강합니다.</t>
  </si>
  <si>
    <t>감가상각비</t>
  </si>
  <si>
    <t>정액법</t>
  </si>
  <si>
    <t>이미 취득한 자산에 대한 비용이므로 매년 일정한 금액이 발생합니다.</t>
  </si>
  <si>
    <t>손실충당금전입(환입)</t>
  </si>
  <si>
    <t>조정 항목</t>
  </si>
  <si>
    <t>매출액 비중 (%)</t>
  </si>
  <si>
    <t>주로 매출채권 대손 관련 비용이며, 미래 추정 시 매출의 일정 %로 설정합니다.</t>
  </si>
  <si>
    <t>제수수료</t>
  </si>
  <si>
    <t>변동비</t>
  </si>
  <si>
    <t>매출 성장률</t>
  </si>
  <si>
    <t>수출 수수료, 수주 관련 법률/기술 수수료 등 사업 규모에 비례합니다.</t>
  </si>
  <si>
    <t>경상개발비</t>
  </si>
  <si>
    <t>신선종 개발 등 프로젝트 베이스로 집행되므로 조업도에 연동됩니다.</t>
  </si>
  <si>
    <t>광고선전비</t>
  </si>
  <si>
    <t>수주 마케팅 활동의 강도에 따라 유동적으로 집행되는 예산입니다.</t>
  </si>
  <si>
    <t>기타판매비와관리비</t>
  </si>
  <si>
    <t>기타 잡비로, 매출 규모가 커짐에 따라 동반 상승하는 경향이 있습니다.</t>
  </si>
  <si>
    <t>계</t>
  </si>
  <si>
    <t>446,050</t>
  </si>
  <si>
    <t>감가상각비 분류</t>
  </si>
  <si>
    <t>2024 대상</t>
  </si>
  <si>
    <t>2024 Dep</t>
  </si>
  <si>
    <t>내용연수</t>
  </si>
  <si>
    <t>판관비 처리</t>
  </si>
  <si>
    <t>경상개발비 처리</t>
  </si>
  <si>
    <t>유형자산 투자 25년</t>
  </si>
  <si>
    <t>상각비</t>
  </si>
  <si>
    <t>총상각대상</t>
  </si>
  <si>
    <t xml:space="preserve">     유형자산</t>
  </si>
  <si>
    <t xml:space="preserve">     무형자산</t>
  </si>
  <si>
    <t xml:space="preserve">     사용권자산</t>
  </si>
  <si>
    <t xml:space="preserve">~3Q25 </t>
  </si>
  <si>
    <t>2025 (예상)</t>
  </si>
  <si>
    <t>2026 (예상)</t>
  </si>
  <si>
    <t>2027 (예상)</t>
  </si>
  <si>
    <t>2025(예상)</t>
  </si>
  <si>
    <t>2026(예상)</t>
  </si>
  <si>
    <t>2027(예상)</t>
  </si>
  <si>
    <t>특수선/해양/기타 E&amp;I 매출액</t>
  </si>
  <si>
    <t>특수</t>
  </si>
  <si>
    <t>기타 및 연결조정</t>
  </si>
  <si>
    <t>합계</t>
  </si>
  <si>
    <t>상선 수주</t>
  </si>
  <si>
    <t>2026년 (예상)</t>
  </si>
  <si>
    <t>상선 수주 척수</t>
  </si>
  <si>
    <t>~3Q25</t>
  </si>
  <si>
    <t>탱커 (VLCC, Suexmax)</t>
  </si>
  <si>
    <t>암모니아/LPG</t>
  </si>
  <si>
    <t>상선 매출액</t>
  </si>
  <si>
    <t>2025년 (예상)</t>
  </si>
  <si>
    <t>2027년 (예상)</t>
  </si>
  <si>
    <t>상선 평균 선가</t>
  </si>
  <si>
    <t>1척 평균 계약금액(2025기준)</t>
  </si>
  <si>
    <t>진행률</t>
  </si>
  <si>
    <t>계약년도+1</t>
  </si>
  <si>
    <t>계약년도+2</t>
  </si>
  <si>
    <t>계약년도+3</t>
  </si>
  <si>
    <t>탱커 (VLCC&lt; Suexmax)</t>
  </si>
  <si>
    <t>LNGC/컨테이너선/LPG</t>
  </si>
  <si>
    <t>2022 카타르 대규모 LNG 수주액</t>
  </si>
  <si>
    <t>매출 인식</t>
  </si>
  <si>
    <t>2021 수주분</t>
  </si>
  <si>
    <t>5년 진행률</t>
  </si>
  <si>
    <t>계약</t>
  </si>
  <si>
    <t>계약+1년</t>
  </si>
  <si>
    <t>계약+2년</t>
  </si>
  <si>
    <t>계약+3년</t>
  </si>
  <si>
    <t>계약+4년</t>
  </si>
  <si>
    <t>2022 수주분</t>
  </si>
  <si>
    <t>2023 수주분</t>
  </si>
  <si>
    <t>2024 수주분</t>
  </si>
  <si>
    <t>2025 수주분</t>
  </si>
  <si>
    <t>2026 수주분</t>
  </si>
  <si>
    <t>특수선/해양/E&amp;I 매출액</t>
  </si>
  <si>
    <t>프로젝트</t>
  </si>
  <si>
    <t>총 계약 금액</t>
  </si>
  <si>
    <t>계약~인도</t>
  </si>
  <si>
    <t>장보고-III Batch-II 1번함</t>
  </si>
  <si>
    <t>2019~2027</t>
  </si>
  <si>
    <t>연도</t>
  </si>
  <si>
    <t>단계</t>
  </si>
  <si>
    <t>누적 공정률(추정)</t>
  </si>
  <si>
    <t>해당 연도 공정 증가</t>
  </si>
  <si>
    <t>연도별 매출(추정)</t>
  </si>
  <si>
    <t>장보고-III Batch-II 2번함</t>
  </si>
  <si>
    <t>2021~2028</t>
  </si>
  <si>
    <t>https://www.thecommoditiesnews.com/news/articleView.html?idxno=3496</t>
  </si>
  <si>
    <t>설계 착수</t>
  </si>
  <si>
    <t>0→5%</t>
  </si>
  <si>
    <t>장보고-III Batch-II 3번함</t>
  </si>
  <si>
    <t>2023~2031</t>
  </si>
  <si>
    <t>https://magazine.hankyung.com/business/article/202312247920b</t>
  </si>
  <si>
    <t>상세설계·선행 준비</t>
  </si>
  <si>
    <t>5→15%</t>
  </si>
  <si>
    <t>울산급 Batch-III 5~6번함</t>
  </si>
  <si>
    <t>2023~2028</t>
  </si>
  <si>
    <t>https://www.yna.co.kr/view/AKR20231110050600003</t>
  </si>
  <si>
    <t>착공·블록·선체 조립 시작</t>
  </si>
  <si>
    <t>15→45%</t>
  </si>
  <si>
    <t>소양급 AOE-II 프로젝트</t>
  </si>
  <si>
    <t>2024~2028</t>
  </si>
  <si>
    <t>https://www.hanwha.co.kr/newsroom/media_center/news/news_view.do?seq=13617</t>
  </si>
  <si>
    <t>https://www.g-enews.com/article/Industry/2024/08/2024082319540820237bdb7041ec_1</t>
  </si>
  <si>
    <t>선체 조립 피크·의장 일부</t>
  </si>
  <si>
    <t>45→80%</t>
  </si>
  <si>
    <t>미 해군 함정 MRO</t>
  </si>
  <si>
    <t>https://www.hankyung.com/article/2025012492381</t>
  </si>
  <si>
    <t>진수 준비·진수·초기 시운전</t>
  </si>
  <si>
    <t>80→93%</t>
  </si>
  <si>
    <t>Petrobras P-79 FPSO</t>
  </si>
  <si>
    <t>2021~2025</t>
  </si>
  <si>
    <t>https://www.ferrotimes.com/news/articleView.html?idxno=12392</t>
  </si>
  <si>
    <t>시운전·전투체계 시험</t>
  </si>
  <si>
    <t>93→98%</t>
  </si>
  <si>
    <t>셰브론의 잔스아이오 FCS</t>
  </si>
  <si>
    <t>2022~2025</t>
  </si>
  <si>
    <t>https://www.mtnews.net/news/articleView.html?idxno=12696</t>
  </si>
  <si>
    <t>인도 직전 마무리</t>
  </si>
  <si>
    <t>98→100%</t>
  </si>
  <si>
    <t>P-82 Venus FPSO</t>
  </si>
  <si>
    <t>신안우이 해상풍력 EPC</t>
  </si>
  <si>
    <t>https://www.hanwha.co.kr/newsroom/media_center/news/news_view.do?seq=15372</t>
  </si>
  <si>
    <t>상세설계·선행 조달</t>
  </si>
  <si>
    <t>착공·선체 초기 공정</t>
  </si>
  <si>
    <t>선체 조립 확대 (1번함과 동시 진행)</t>
  </si>
  <si>
    <t>선체 조립 피크, 의장 공사 본격화</t>
  </si>
  <si>
    <t>진수·초기 시운전</t>
  </si>
  <si>
    <t>시운전·시험평가 (꼬리)</t>
  </si>
  <si>
    <t>인도·정산</t>
  </si>
  <si>
    <t>주요 단계</t>
  </si>
  <si>
    <t>설계 마무리·착공(10월)</t>
  </si>
  <si>
    <t>블록 제작·선체 조립 초기</t>
  </si>
  <si>
    <t>15→30%</t>
  </si>
  <si>
    <t>선체 조립 확대</t>
  </si>
  <si>
    <t>30→45%</t>
  </si>
  <si>
    <t>선체 조립 피크·의장 공사 시작</t>
  </si>
  <si>
    <t>45→60%</t>
  </si>
  <si>
    <t>의장 공사·내부 시스템 탑재</t>
  </si>
  <si>
    <t>60→80%</t>
  </si>
  <si>
    <t>선체·의장 마무리, 진수</t>
  </si>
  <si>
    <t>80→90%</t>
  </si>
  <si>
    <t>해상 시운전·시험평가</t>
  </si>
  <si>
    <t>90→97%</t>
  </si>
  <si>
    <t>평균계약자산</t>
  </si>
  <si>
    <t>최종 시운전·인도</t>
  </si>
  <si>
    <t>97→100%</t>
  </si>
  <si>
    <t>2025 (추정)</t>
  </si>
  <si>
    <t>2026 (추정)</t>
  </si>
  <si>
    <t>2027 (추정)</t>
  </si>
  <si>
    <t>계약자산 회전율</t>
  </si>
  <si>
    <t>주요 공정 (2척 합산)</t>
  </si>
  <si>
    <t>회전기일</t>
  </si>
  <si>
    <t>계약·기본설계</t>
  </si>
  <si>
    <t>0→8%</t>
  </si>
  <si>
    <t>상세설계·착공·블록 제작</t>
  </si>
  <si>
    <t>8→28%</t>
  </si>
  <si>
    <t>평균계약부채</t>
  </si>
  <si>
    <t>선체 조립 본격화 (두 척 모두)</t>
  </si>
  <si>
    <t>28→53%</t>
  </si>
  <si>
    <t>5번함 선체 피크·진수, 6번함 선체 심화</t>
  </si>
  <si>
    <t>53→78%</t>
  </si>
  <si>
    <t>5번함 시운전·인도, 6번함 선체 후반·의장 시작</t>
  </si>
  <si>
    <t>78→93%</t>
  </si>
  <si>
    <t>계약부채 회전율</t>
  </si>
  <si>
    <t>6번함 시운전·인도</t>
  </si>
  <si>
    <t>93→100%</t>
  </si>
  <si>
    <t>계약·기본/상세 설계, 선행 조달, 착수</t>
  </si>
  <si>
    <t>0→15%</t>
  </si>
  <si>
    <t>설계 마무리·블록 제작·착공 초기</t>
  </si>
  <si>
    <t>15→35%</t>
  </si>
  <si>
    <t>비율</t>
  </si>
  <si>
    <t>블록·선체 조립 본격화</t>
  </si>
  <si>
    <t>35→60%</t>
  </si>
  <si>
    <t>선체 조립 후반·의장 공사·진수 준비</t>
  </si>
  <si>
    <t>진수·의장 마무리·시운전·인도</t>
  </si>
  <si>
    <t>80→100%</t>
  </si>
  <si>
    <t>5척 (이미 3척 확보 + 추가 2척 가정)​</t>
  </si>
  <si>
    <t>6척 (필리 조선소 가동 효과 반영)​</t>
  </si>
  <si>
    <t>6~7척 (미국·영국·캐나다 포함, 안정화 단계)​</t>
  </si>
  <si>
    <t>미공개 거래 반영 X</t>
  </si>
  <si>
    <t>2025년</t>
  </si>
  <si>
    <t>수량</t>
  </si>
  <si>
    <t>1척 당 계약 금액</t>
  </si>
  <si>
    <t>건조 기간</t>
  </si>
  <si>
    <t>지역/선주</t>
  </si>
  <si>
    <t>총 수주 계약 금액</t>
  </si>
  <si>
    <t>척</t>
  </si>
  <si>
    <t>계약 금액</t>
  </si>
  <si>
    <t>HMM</t>
  </si>
  <si>
    <t>북미</t>
  </si>
  <si>
    <t>양밍해운(대만)</t>
  </si>
  <si>
    <t>총</t>
  </si>
  <si>
    <t>에버그린(아시아)</t>
  </si>
  <si>
    <t>Hanwha Shipping(오세아니아)</t>
  </si>
  <si>
    <t>2024년</t>
  </si>
  <si>
    <t>6년</t>
  </si>
  <si>
    <t>3년</t>
  </si>
  <si>
    <t>3년 1개월</t>
  </si>
  <si>
    <t>713500000000/(3+1/12)</t>
  </si>
  <si>
    <t>4년 3개월</t>
  </si>
  <si>
    <t>4년 4개월</t>
  </si>
  <si>
    <t>2년 10개월</t>
  </si>
  <si>
    <t>미주</t>
  </si>
  <si>
    <t>2년 9개월</t>
  </si>
  <si>
    <t>3년 4개월</t>
  </si>
  <si>
    <t>LPG/암모니아 운반선</t>
  </si>
  <si>
    <t>3년 7개월</t>
  </si>
  <si>
    <t>2023년</t>
  </si>
  <si>
    <t>8년</t>
  </si>
  <si>
    <t>4년 7개월</t>
  </si>
  <si>
    <t>4년 5개월</t>
  </si>
  <si>
    <t>4년 2개월</t>
  </si>
  <si>
    <t>년도 일괄 기중기준 계산</t>
  </si>
  <si>
    <t>2022년</t>
  </si>
  <si>
    <t>2021년</t>
  </si>
  <si>
    <t>컨테이너</t>
  </si>
  <si>
    <t>22년</t>
  </si>
  <si>
    <t>23년</t>
  </si>
  <si>
    <t>구분</t>
  </si>
  <si>
    <t>발주처</t>
  </si>
  <si>
    <t>계약일</t>
  </si>
  <si>
    <t>인도예정일</t>
  </si>
  <si>
    <t>LNGB</t>
  </si>
  <si>
    <t>아시아지역 선주</t>
  </si>
  <si>
    <t>2020.6.5</t>
  </si>
  <si>
    <t>2023.2.21</t>
  </si>
  <si>
    <t>2020.10.9</t>
  </si>
  <si>
    <t>2024.5.27</t>
  </si>
  <si>
    <t>FPSO</t>
  </si>
  <si>
    <t>오세아니아지역 선주</t>
  </si>
  <si>
    <t>2012.3.8</t>
  </si>
  <si>
    <t>2022.9.26</t>
  </si>
  <si>
    <t>DRSP</t>
  </si>
  <si>
    <t>유럽지역 선주</t>
  </si>
  <si>
    <t>2012.9.27</t>
  </si>
  <si>
    <t>2023.12.31</t>
  </si>
  <si>
    <t>2024.6.28</t>
  </si>
  <si>
    <t>2013.6.24</t>
  </si>
  <si>
    <t>2025.11.15</t>
  </si>
  <si>
    <t>FP</t>
  </si>
  <si>
    <t>2013.5.26</t>
  </si>
  <si>
    <t>2021.11.1</t>
  </si>
  <si>
    <t>FPU</t>
  </si>
  <si>
    <t>미주지역 선주</t>
  </si>
  <si>
    <t>2019.11.21</t>
  </si>
  <si>
    <t>2023.3.29</t>
  </si>
  <si>
    <t>플랜트</t>
  </si>
  <si>
    <t>아사아지역 사업주</t>
  </si>
  <si>
    <t>2020.12.1</t>
  </si>
  <si>
    <t>2025.6.30</t>
  </si>
  <si>
    <t>2024.2.20</t>
  </si>
  <si>
    <t>2021.10.20</t>
  </si>
  <si>
    <t>2025.1.14</t>
  </si>
  <si>
    <t>2023.3.30</t>
  </si>
  <si>
    <t>2024.5.24</t>
  </si>
  <si>
    <t>2021.11.10</t>
  </si>
  <si>
    <t>2024.9.10</t>
  </si>
  <si>
    <t>2024.1.5</t>
  </si>
  <si>
    <t>2025.7.18</t>
  </si>
  <si>
    <t>2024.11.29</t>
  </si>
  <si>
    <t>2024.2.29</t>
  </si>
  <si>
    <t>2023.6.30</t>
  </si>
  <si>
    <t>2021.11.30</t>
  </si>
  <si>
    <t>2025.5.20</t>
  </si>
  <si>
    <t>2025.1.16</t>
  </si>
  <si>
    <t>2025.7.14</t>
  </si>
  <si>
    <t>2020.5.20</t>
  </si>
  <si>
    <t>2023.11.27</t>
  </si>
  <si>
    <t>2024.9.11</t>
  </si>
  <si>
    <t>2024.8.23</t>
  </si>
  <si>
    <t>2023.5.26</t>
  </si>
  <si>
    <t>2024.11.4</t>
  </si>
  <si>
    <t>2024.10.2</t>
  </si>
  <si>
    <t>2024.12.31</t>
  </si>
  <si>
    <t>2025.4.9</t>
  </si>
  <si>
    <t>2025.9.20</t>
  </si>
  <si>
    <t>2024.8.28</t>
  </si>
  <si>
    <t>2025.5.26</t>
  </si>
  <si>
    <t>2025.9.30</t>
  </si>
  <si>
    <t>2024.10.11</t>
  </si>
  <si>
    <t>2024.8.1</t>
  </si>
  <si>
    <t>OSV</t>
  </si>
  <si>
    <t>2021.12.2</t>
  </si>
  <si>
    <t>2025.9.26</t>
  </si>
  <si>
    <t>2025.3.31</t>
  </si>
  <si>
    <t>2024.9.20</t>
  </si>
  <si>
    <t>2021.5.11</t>
  </si>
  <si>
    <t>2025.2.28</t>
  </si>
  <si>
    <t>2025.5.19</t>
  </si>
  <si>
    <t>중동지역 선주</t>
  </si>
  <si>
    <t>2021.6.1</t>
  </si>
  <si>
    <t>2025.8.31</t>
  </si>
  <si>
    <t>2024.7.18</t>
  </si>
  <si>
    <t>2021.7.30</t>
  </si>
  <si>
    <t>2025.7.15</t>
  </si>
  <si>
    <t>2021.9.13</t>
  </si>
  <si>
    <t>2024.11.1</t>
  </si>
  <si>
    <t>2024.11.30</t>
  </si>
  <si>
    <t>2024.11.12</t>
  </si>
  <si>
    <t>2025.5.15</t>
  </si>
  <si>
    <t>2024.12.13</t>
  </si>
  <si>
    <t>2025.5.31</t>
  </si>
  <si>
    <t>2024.6.19</t>
  </si>
  <si>
    <t>2025.3.10</t>
  </si>
  <si>
    <t>2024.8.31</t>
  </si>
  <si>
    <t>2024.5.30</t>
  </si>
  <si>
    <t>2022.1.10</t>
  </si>
  <si>
    <t>2026.1.4</t>
  </si>
  <si>
    <t>2021.5.28</t>
  </si>
  <si>
    <t>2023.12.29</t>
  </si>
  <si>
    <t>2024.7.20</t>
  </si>
  <si>
    <t>2022.1.14</t>
  </si>
  <si>
    <t>2024.10.28</t>
  </si>
  <si>
    <t>2025.4.6</t>
  </si>
  <si>
    <t>2024.8.12</t>
  </si>
  <si>
    <t>2022.1.28</t>
  </si>
  <si>
    <t>2025.12.24</t>
  </si>
  <si>
    <t>2024.6.5</t>
  </si>
  <si>
    <t>2024.10.31</t>
  </si>
  <si>
    <t>2026.1.15</t>
  </si>
  <si>
    <t>2024.4.17</t>
  </si>
  <si>
    <t>2022.1.5</t>
  </si>
  <si>
    <t>2025.9.19</t>
  </si>
  <si>
    <t>2025.10.24</t>
  </si>
  <si>
    <t>2024.7.16</t>
  </si>
  <si>
    <t>2022.10.20</t>
  </si>
  <si>
    <t>2026.7.8</t>
  </si>
  <si>
    <t>2026.9.16</t>
  </si>
  <si>
    <t>2025.11.27</t>
  </si>
  <si>
    <t>2022.11.4</t>
  </si>
  <si>
    <t>2026.9.9</t>
  </si>
  <si>
    <t>2024.9.18</t>
  </si>
  <si>
    <t>2022.11.8</t>
  </si>
  <si>
    <t>2026.10.8</t>
  </si>
  <si>
    <t>2026.7.23</t>
  </si>
  <si>
    <t>2022.3.17</t>
  </si>
  <si>
    <t>2026.10.23</t>
  </si>
  <si>
    <t>2026.1.29</t>
  </si>
  <si>
    <t>CONT</t>
  </si>
  <si>
    <t>2022.1.29</t>
  </si>
  <si>
    <t>2025.3.17</t>
  </si>
  <si>
    <t>2026.9.23</t>
  </si>
  <si>
    <t>2022.3.23</t>
  </si>
  <si>
    <t>2025.8.23</t>
  </si>
  <si>
    <t>2025.5.9</t>
  </si>
  <si>
    <t>2026.11.13</t>
  </si>
  <si>
    <t>2025.11.14</t>
  </si>
  <si>
    <t>2025.6.10</t>
  </si>
  <si>
    <t>2025.12.4</t>
  </si>
  <si>
    <t>2025.8.21</t>
  </si>
  <si>
    <t>2022.4.14</t>
  </si>
  <si>
    <t>2025.10.30</t>
  </si>
  <si>
    <t>2025.9.2</t>
  </si>
  <si>
    <t>2025.7.24</t>
  </si>
  <si>
    <t>2026.3.31</t>
  </si>
  <si>
    <t>2025.10.31</t>
  </si>
  <si>
    <t>2025.9.3</t>
  </si>
  <si>
    <t>2022.6.5</t>
  </si>
  <si>
    <t>2024.12.6</t>
  </si>
  <si>
    <t>2025.1.7</t>
  </si>
  <si>
    <t>2025.8.14</t>
  </si>
  <si>
    <t>2025.3.2</t>
  </si>
  <si>
    <t>2022.6.8</t>
  </si>
  <si>
    <t>2026.4.28</t>
  </si>
  <si>
    <t>2026.5.19</t>
  </si>
  <si>
    <t>2022.8.12</t>
  </si>
  <si>
    <t>2026.7.28</t>
  </si>
  <si>
    <t>2025.2.14</t>
  </si>
  <si>
    <t>2022.9.21</t>
  </si>
  <si>
    <t>2026.4.21</t>
  </si>
  <si>
    <t>2026.6.16</t>
  </si>
  <si>
    <t>2026.5.13</t>
  </si>
  <si>
    <t>2022.9.30</t>
  </si>
  <si>
    <t>2026.8.13</t>
  </si>
  <si>
    <t>2026.6.30</t>
  </si>
  <si>
    <t>2026.8.19</t>
  </si>
  <si>
    <t>2026.1.30</t>
  </si>
  <si>
    <t>2024.11.22</t>
  </si>
  <si>
    <t>2022.9.5</t>
  </si>
  <si>
    <t>2025.4.16</t>
  </si>
  <si>
    <t>2025.1.3</t>
  </si>
  <si>
    <t>2026.9.2</t>
  </si>
  <si>
    <t>2025.6.7</t>
  </si>
  <si>
    <t>2025.6.29</t>
  </si>
  <si>
    <t>2025.8.10</t>
  </si>
  <si>
    <t>2025.2.20</t>
  </si>
  <si>
    <t>2025.11.13</t>
  </si>
  <si>
    <t>2026.2.25</t>
  </si>
  <si>
    <t>2025.6.11</t>
  </si>
  <si>
    <t>2023.2.10</t>
  </si>
  <si>
    <t>2026.12.11</t>
  </si>
  <si>
    <t>2023.3.13</t>
  </si>
  <si>
    <t>2027.1.22</t>
  </si>
  <si>
    <t>2027.3.4</t>
  </si>
  <si>
    <t>2023.4.7</t>
  </si>
  <si>
    <t>2027.5.19</t>
  </si>
  <si>
    <t>2027.2.5</t>
  </si>
  <si>
    <t>2023.7.31</t>
  </si>
  <si>
    <t>2026.10.30</t>
  </si>
  <si>
    <t>2026.2.6</t>
  </si>
  <si>
    <t>2027.2.25</t>
  </si>
  <si>
    <t>2024.6.30</t>
  </si>
  <si>
    <t>2028.4.20</t>
  </si>
  <si>
    <t>2027.4.21</t>
  </si>
  <si>
    <t>2028.6.8</t>
  </si>
  <si>
    <t>2025.2.13</t>
  </si>
  <si>
    <t>2027.6.8</t>
  </si>
  <si>
    <t>2028.7.20</t>
  </si>
  <si>
    <t>2026.12.23</t>
  </si>
  <si>
    <t>2028.8.31</t>
  </si>
  <si>
    <t>2024.9.30</t>
  </si>
  <si>
    <t>2027.9.15</t>
  </si>
  <si>
    <t>2025.11.12</t>
  </si>
  <si>
    <t>계약년도+4</t>
  </si>
  <si>
    <t>증분</t>
  </si>
  <si>
    <t>22년 LNGC</t>
  </si>
  <si>
    <t>계약년도</t>
  </si>
  <si>
    <t>계약+1</t>
  </si>
  <si>
    <t>계약+2</t>
  </si>
  <si>
    <t>계약+3(가정치)</t>
  </si>
  <si>
    <t>계약+4(가정치)</t>
  </si>
  <si>
    <t>LPGC</t>
  </si>
  <si>
    <t>셔틀탱커</t>
  </si>
  <si>
    <t>에탄운반선</t>
  </si>
  <si>
    <t>석화운반선</t>
  </si>
  <si>
    <t>잠수함 성능개량</t>
  </si>
  <si>
    <t>해양생산설비</t>
  </si>
  <si>
    <t>HD현대삼호중공업</t>
  </si>
  <si>
    <t>한화오션은 배당을 안함</t>
  </si>
  <si>
    <t>현재 CAPEX가 매우 활발하기 때문에 FCFF/WACC는 좀 힘들고,</t>
  </si>
  <si>
    <t>멀티플 중 가장 좋은 것은 (peer/historical)(P/E와 P/B, EV/EBITDA 중 택1)</t>
  </si>
  <si>
    <t>대우조선해양 시절에 비하여 부채비율이나 시장 장악력 등 많은 부분에서 변화가 있었기 때문에 2022년 이전의 Historical은 의미가 없음</t>
  </si>
  <si>
    <t>그리고 한화오션의 흑자전환은 2024년이었으므로 historical P/E는 전체적으로 비약이 있음</t>
  </si>
  <si>
    <t>조선업의 경우 EBIT은 양수여도 FCFF가 음수인 경우가 많았고,</t>
  </si>
  <si>
    <t>2025/9 기준 (**EPS와 EBITDA는 4/3로 Flat 처리)</t>
  </si>
  <si>
    <t>Price</t>
  </si>
  <si>
    <t>EPS</t>
  </si>
  <si>
    <t>BPS</t>
  </si>
  <si>
    <t>P/B</t>
  </si>
  <si>
    <t>수주된 선박이 출고되기 전까지 건설중인 자산으로 계상되기 때문에</t>
  </si>
  <si>
    <t>자산과 자본으로 축적되는 기업가치를 설명하려면 PER보다는 PBR이 적합하다고 생각</t>
  </si>
  <si>
    <t>HD한국조선해양</t>
  </si>
  <si>
    <t>비교기업을 선정할때에는 흔히 생각하는 테마가 아니라 매출 비중이 더 중요함</t>
  </si>
  <si>
    <t>업계평균</t>
  </si>
  <si>
    <t>수요처, 산업분야</t>
  </si>
  <si>
    <t>N/A</t>
  </si>
  <si>
    <t>국가</t>
  </si>
  <si>
    <t>수주 점유율 (%)</t>
  </si>
  <si>
    <t>5643만: 2025년 세계 선박 수주량 총계
3537만: 2025년 중국 수주량(1421척)
1160만: 2025년 한국 수주량(247척)</t>
  </si>
  <si>
    <t>Country</t>
  </si>
  <si>
    <t>Share (%)</t>
  </si>
  <si>
    <t>**중국**</t>
  </si>
  <si>
    <t>946만 CGT:기타</t>
  </si>
  <si>
    <t>**한국**</t>
  </si>
  <si>
    <t>중국</t>
  </si>
  <si>
    <t>**기타**</t>
  </si>
  <si>
    <t>한국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</si>
</sst>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76" formatCode="#,##0,,,"/>
    <numFmt numFmtId="177" formatCode="#,##0,,"/>
    <numFmt numFmtId="178" formatCode="yyyy/m/d"/>
    <numFmt numFmtId="179" formatCode="[$₩-412]#,##0"/>
    <numFmt numFmtId="180" formatCode="_([$₩-412]* #,##0_);_([$₩-412]* \(#,##0\);_([$₩-412]* &quot;-&quot;??_);_(@_)"/>
    <numFmt numFmtId="181" formatCode="0.0000000%"/>
    <numFmt numFmtId="182" formatCode="yyyy\-mm\-dd"/>
    <numFmt numFmtId="183" formatCode="yyyy/m"/>
  </numFmts>
  <fonts count="70">
    <font>
      <sz val="10"/>
      <color rgb="FF000000"/>
      <name val="Arial"/>
      <scheme val="minor"/>
    </font>
    <font>
      <sz val="10"/>
      <color theme="1"/>
      <name val="Arial"/>
      <family val="2"/>
      <scheme val="minor"/>
    </font>
    <font>
      <sz val="10"/>
      <color theme="1"/>
      <name val="Arial"/>
      <family val="2"/>
      <scheme val="minor"/>
    </font>
    <font>
      <sz val="10"/>
      <color rgb="FF000000"/>
      <name val="Arial"/>
      <family val="2"/>
    </font>
    <font>
      <sz val="10"/>
      <color rgb="FF1F1F1F"/>
      <name val="Arial"/>
      <family val="2"/>
    </font>
    <font>
      <sz val="10"/>
      <color rgb="FF000000"/>
      <name val="DartNBSP"/>
    </font>
    <font>
      <sz val="11"/>
      <color rgb="FF000000"/>
      <name val="DartNBSP"/>
    </font>
    <font>
      <u/>
      <sz val="10"/>
      <color rgb="FF0000FF"/>
      <name val="Arial"/>
      <family val="2"/>
    </font>
    <font>
      <sz val="12"/>
      <color rgb="FF000000"/>
      <name val="&quot;맑은 고딕&quot;"/>
      <family val="3"/>
      <charset val="129"/>
    </font>
    <font>
      <sz val="11"/>
      <color rgb="FF000000"/>
      <name val="Arial"/>
      <family val="2"/>
    </font>
    <font>
      <b/>
      <sz val="10"/>
      <color theme="1"/>
      <name val="Arial"/>
      <family val="2"/>
      <scheme val="minor"/>
    </font>
    <font>
      <sz val="11"/>
      <color rgb="FF000000"/>
      <name val="&quot;Google Sans Flex&quot;"/>
    </font>
    <font>
      <sz val="10"/>
      <color rgb="FFC4C7C5"/>
      <name val="Arial"/>
      <family val="2"/>
      <scheme val="minor"/>
    </font>
    <font>
      <sz val="10"/>
      <color rgb="FF000000"/>
      <name val="Arial"/>
      <family val="2"/>
      <scheme val="minor"/>
    </font>
    <font>
      <sz val="10"/>
      <color rgb="FF000000"/>
      <name val="Arial"/>
      <family val="2"/>
    </font>
    <font>
      <sz val="10"/>
      <color theme="1"/>
      <name val="Arial"/>
      <family val="2"/>
    </font>
    <font>
      <sz val="10"/>
      <color rgb="FFC4C7C5"/>
      <name val="&quot;Google Sans Flex&quot;"/>
    </font>
    <font>
      <sz val="10"/>
      <color rgb="FF000000"/>
      <name val="Google Sans Flex"/>
    </font>
    <font>
      <sz val="12"/>
      <color rgb="FFC4C7C5"/>
      <name val="&quot;Google Sans Flex&quot;"/>
    </font>
    <font>
      <sz val="12"/>
      <color rgb="FF000000"/>
      <name val="Google Sans Flex"/>
    </font>
    <font>
      <b/>
      <sz val="30"/>
      <color theme="1"/>
      <name val="Arial"/>
      <family val="2"/>
      <scheme val="minor"/>
    </font>
    <font>
      <b/>
      <sz val="25"/>
      <color theme="1"/>
      <name val="Arial"/>
      <family val="2"/>
      <scheme val="minor"/>
    </font>
    <font>
      <b/>
      <sz val="10"/>
      <color theme="1"/>
      <name val="Arial"/>
      <family val="2"/>
      <scheme val="minor"/>
    </font>
    <font>
      <u/>
      <sz val="10"/>
      <color rgb="FF0000FF"/>
      <name val="Arial"/>
      <family val="2"/>
    </font>
    <font>
      <b/>
      <sz val="15"/>
      <color theme="1"/>
      <name val="Arial"/>
      <family val="2"/>
      <scheme val="minor"/>
    </font>
    <font>
      <sz val="10"/>
      <color rgb="FF1F1F1F"/>
      <name val="&quot;Google Sans Text&quot;"/>
    </font>
    <font>
      <sz val="18"/>
      <color theme="1"/>
      <name val="Arial"/>
      <family val="2"/>
      <scheme val="minor"/>
    </font>
    <font>
      <strike/>
      <sz val="10"/>
      <color theme="1"/>
      <name val="Arial"/>
      <family val="2"/>
      <scheme val="minor"/>
    </font>
    <font>
      <sz val="10"/>
      <color rgb="FF0000FF"/>
      <name val="Arial"/>
      <family val="2"/>
      <scheme val="minor"/>
    </font>
    <font>
      <sz val="11"/>
      <color theme="1"/>
      <name val="DartNBSP"/>
    </font>
    <font>
      <sz val="12"/>
      <color theme="1"/>
      <name val="Arial"/>
      <family val="2"/>
      <scheme val="minor"/>
    </font>
    <font>
      <sz val="12"/>
      <color rgb="FF0000FF"/>
      <name val="Arial"/>
      <family val="2"/>
      <scheme val="minor"/>
    </font>
    <font>
      <sz val="12"/>
      <color rgb="FF1F1F1F"/>
      <name val="&quot;Google Sans Text&quot;"/>
    </font>
    <font>
      <sz val="12"/>
      <color rgb="FFFF0000"/>
      <name val="Arial"/>
      <family val="2"/>
      <scheme val="minor"/>
    </font>
    <font>
      <sz val="12"/>
      <color rgb="FFFF0000"/>
      <name val="&quot;Google Sans Text&quot;"/>
    </font>
    <font>
      <sz val="13"/>
      <color rgb="FF3D3D3D"/>
      <name val="돋움체"/>
      <family val="3"/>
      <charset val="129"/>
    </font>
    <font>
      <sz val="12"/>
      <color rgb="FF000000"/>
      <name val="굴림"/>
      <family val="3"/>
      <charset val="129"/>
    </font>
    <font>
      <sz val="12"/>
      <color rgb="FF0000FF"/>
      <name val="&quot;맑은 고딕&quot;"/>
      <family val="3"/>
      <charset val="129"/>
    </font>
    <font>
      <b/>
      <sz val="12"/>
      <color rgb="FF1F1F1F"/>
      <name val="Google Sans Text"/>
    </font>
    <font>
      <sz val="12"/>
      <color theme="1"/>
      <name val="Arial"/>
      <family val="2"/>
    </font>
    <font>
      <sz val="12"/>
      <color rgb="FF000000"/>
      <name val="Google Sans Text"/>
    </font>
    <font>
      <sz val="12"/>
      <color rgb="FF1F1F1F"/>
      <name val="Google Sans Text"/>
    </font>
    <font>
      <sz val="12"/>
      <color rgb="FF0000FF"/>
      <name val="Arial"/>
      <family val="2"/>
    </font>
    <font>
      <sz val="12"/>
      <color theme="1"/>
      <name val="FkGroteskNeue"/>
    </font>
    <font>
      <sz val="12"/>
      <color rgb="FF000000"/>
      <name val="Arial"/>
      <family val="2"/>
      <scheme val="minor"/>
    </font>
    <font>
      <sz val="12"/>
      <color rgb="FF000000"/>
      <name val="Arial"/>
      <family val="2"/>
    </font>
    <font>
      <sz val="12"/>
      <color rgb="FF3D3D3D"/>
      <name val="돋움체"/>
      <family val="3"/>
      <charset val="129"/>
    </font>
    <font>
      <b/>
      <sz val="12"/>
      <color rgb="FF1F1F1F"/>
      <name val="&quot;Google Sans Text&quot;"/>
    </font>
    <font>
      <sz val="12"/>
      <color rgb="FF0000FF"/>
      <name val="&quot;Google Sans Text&quot;"/>
    </font>
    <font>
      <sz val="10"/>
      <color rgb="FF1F1F1F"/>
      <name val="Google Sans Text"/>
    </font>
    <font>
      <sz val="9"/>
      <color theme="1"/>
      <name val="Google Sans Mono"/>
    </font>
    <font>
      <sz val="10"/>
      <color rgb="FF000000"/>
      <name val="FkGroteskNeue"/>
    </font>
    <font>
      <b/>
      <sz val="10"/>
      <color rgb="FF1F1F1F"/>
      <name val="&quot;Google Sans Text&quot;"/>
    </font>
    <font>
      <b/>
      <sz val="10"/>
      <color theme="1"/>
      <name val="Arial"/>
      <family val="2"/>
    </font>
    <font>
      <u/>
      <sz val="10"/>
      <color rgb="FF1F1F1F"/>
      <name val="&quot;Google Sans Text&quot;"/>
    </font>
    <font>
      <sz val="12"/>
      <color rgb="FF444444"/>
      <name val="Arial"/>
      <family val="2"/>
    </font>
    <font>
      <u/>
      <sz val="10"/>
      <color rgb="FF1F1F1F"/>
      <name val="&quot;Google Sans Text&quot;"/>
    </font>
    <font>
      <sz val="14"/>
      <color rgb="FF222222"/>
      <name val="Rubik"/>
    </font>
    <font>
      <sz val="10"/>
      <color rgb="FF000000"/>
      <name val="Google Sans"/>
    </font>
    <font>
      <sz val="10"/>
      <color theme="1"/>
      <name val="FkGroteskNeue"/>
    </font>
    <font>
      <sz val="12"/>
      <color rgb="FF000000"/>
      <name val="ChnDefault"/>
    </font>
    <font>
      <sz val="10"/>
      <color rgb="FFFF0000"/>
      <name val="Arial"/>
      <family val="2"/>
      <scheme val="minor"/>
    </font>
    <font>
      <sz val="10"/>
      <color rgb="FF3D3D3D"/>
      <name val="돋움체"/>
      <family val="3"/>
      <charset val="129"/>
    </font>
    <font>
      <sz val="10"/>
      <name val="Arial"/>
      <family val="2"/>
    </font>
    <font>
      <sz val="11"/>
      <color rgb="FF000000"/>
      <name val="굴림"/>
      <family val="3"/>
      <charset val="129"/>
    </font>
    <font>
      <sz val="10"/>
      <color rgb="FFFF0000"/>
      <name val="Arial"/>
      <family val="2"/>
    </font>
    <font>
      <sz val="10"/>
      <color rgb="FF9900FF"/>
      <name val="Arial"/>
      <family val="2"/>
    </font>
    <font>
      <sz val="11"/>
      <color rgb="FF1F1F1F"/>
      <name val="&quot;Google Sans&quot;"/>
    </font>
    <font>
      <u/>
      <sz val="10"/>
      <color rgb="FF1155CC"/>
      <name val="Arial"/>
      <family val="2"/>
    </font>
    <font>
      <sz val="8"/>
      <name val="Arial"/>
      <family val="3"/>
      <charset val="129"/>
      <scheme val="minor"/>
    </font>
  </fonts>
  <fills count="21">
    <fill>
      <patternFill patternType="none"/>
    </fill>
    <fill>
      <patternFill patternType="gray125"/>
    </fill>
    <fill>
      <patternFill patternType="solid">
        <fgColor rgb="FFF46524"/>
        <bgColor rgb="FFF46524"/>
      </patternFill>
    </fill>
    <fill>
      <patternFill patternType="solid">
        <fgColor rgb="FFFFCCBC"/>
        <bgColor rgb="FFFFCCBC"/>
      </patternFill>
    </fill>
    <fill>
      <patternFill patternType="solid">
        <fgColor rgb="FFFFFFFF"/>
        <bgColor rgb="FFFFFFFF"/>
      </patternFill>
    </fill>
    <fill>
      <patternFill patternType="solid">
        <fgColor rgb="FFEAD1DC"/>
        <bgColor rgb="FFEAD1DC"/>
      </patternFill>
    </fill>
    <fill>
      <patternFill patternType="solid">
        <fgColor rgb="FFFFFF00"/>
        <bgColor rgb="FFFFFF00"/>
      </patternFill>
    </fill>
    <fill>
      <patternFill patternType="solid">
        <fgColor rgb="FFB6D7A8"/>
        <bgColor rgb="FFB6D7A8"/>
      </patternFill>
    </fill>
    <fill>
      <patternFill patternType="solid">
        <fgColor theme="0"/>
        <bgColor theme="0"/>
      </patternFill>
    </fill>
    <fill>
      <patternFill patternType="solid">
        <fgColor rgb="FFFFE6DD"/>
        <bgColor rgb="FFFFE6DD"/>
      </patternFill>
    </fill>
    <fill>
      <patternFill patternType="solid">
        <fgColor theme="8"/>
        <bgColor theme="8"/>
      </patternFill>
    </fill>
    <fill>
      <patternFill patternType="solid">
        <fgColor rgb="FF6D9EEB"/>
        <bgColor rgb="FF6D9EEB"/>
      </patternFill>
    </fill>
    <fill>
      <patternFill patternType="solid">
        <fgColor rgb="FFB4A7D6"/>
        <bgColor rgb="FFB4A7D6"/>
      </patternFill>
    </fill>
    <fill>
      <patternFill patternType="solid">
        <fgColor rgb="FFF4CCCC"/>
        <bgColor rgb="FFF4CCCC"/>
      </patternFill>
    </fill>
    <fill>
      <patternFill patternType="solid">
        <fgColor rgb="FFD9EAD3"/>
        <bgColor rgb="FFD9EAD3"/>
      </patternFill>
    </fill>
    <fill>
      <patternFill patternType="solid">
        <fgColor rgb="FFF2F2F2"/>
        <bgColor rgb="FFF2F2F2"/>
      </patternFill>
    </fill>
    <fill>
      <patternFill patternType="solid">
        <fgColor rgb="FFCFE2F3"/>
        <bgColor rgb="FFCFE2F3"/>
      </patternFill>
    </fill>
    <fill>
      <patternFill patternType="solid">
        <fgColor rgb="FFFF00FF"/>
        <bgColor rgb="FFFF00FF"/>
      </patternFill>
    </fill>
    <fill>
      <patternFill patternType="solid">
        <fgColor rgb="FF00FFFF"/>
        <bgColor rgb="FF00FFFF"/>
      </patternFill>
    </fill>
    <fill>
      <patternFill patternType="solid">
        <fgColor rgb="FFC9DAF8"/>
        <bgColor rgb="FFC9DAF8"/>
      </patternFill>
    </fill>
    <fill>
      <patternFill patternType="solid">
        <fgColor rgb="FFD0E0E3"/>
        <bgColor rgb="FFD0E0E3"/>
      </patternFill>
    </fill>
  </fills>
  <borders count="1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DDDDDD"/>
      </left>
      <right style="thin">
        <color rgb="FFDDDDDD"/>
      </right>
      <top style="thin">
        <color rgb="FFDDDDDD"/>
      </top>
      <bottom style="thin">
        <color rgb="FFDDDDDD"/>
      </bottom>
      <diagonal/>
    </border>
    <border>
      <left style="thin">
        <color rgb="FF808080"/>
      </left>
      <right style="thin">
        <color rgb="FF808080"/>
      </right>
      <top style="thin">
        <color rgb="FF808080"/>
      </top>
      <bottom style="thin">
        <color rgb="FF808080"/>
      </bottom>
      <diagonal/>
    </border>
    <border>
      <left style="thin">
        <color rgb="FF7F7F7F"/>
      </left>
      <right/>
      <top style="thin">
        <color rgb="FF7F7F7F"/>
      </top>
      <bottom style="thin">
        <color rgb="FF7F7F7F"/>
      </bottom>
      <diagonal/>
    </border>
    <border>
      <left/>
      <right style="thin">
        <color rgb="FF7F7F7F"/>
      </right>
      <top style="thin">
        <color rgb="FF7F7F7F"/>
      </top>
      <bottom style="thin">
        <color rgb="FF7F7F7F"/>
      </bottom>
      <diagonal/>
    </border>
  </borders>
  <cellStyleXfs count="1">
    <xf numFmtId="0" fontId="0" fillId="0" borderId="0"/>
  </cellStyleXfs>
  <cellXfs count="351">
    <xf numFmtId="0" fontId="0" fillId="0" borderId="0" xfId="0"/>
    <xf numFmtId="0" fontId="1" fillId="0" borderId="0" xfId="0" applyFont="1"/>
    <xf numFmtId="0" fontId="1" fillId="0" borderId="0" xfId="0" applyFont="1" applyAlignment="1">
      <alignment horizontal="left"/>
    </xf>
    <xf numFmtId="0" fontId="1" fillId="0" borderId="0" xfId="0" applyFont="1" applyAlignment="1">
      <alignment horizontal="right"/>
    </xf>
    <xf numFmtId="0" fontId="1" fillId="2" borderId="1" xfId="0" applyFont="1" applyFill="1" applyBorder="1"/>
    <xf numFmtId="0" fontId="1" fillId="2" borderId="2" xfId="0" applyFont="1" applyFill="1" applyBorder="1" applyAlignment="1">
      <alignment horizontal="left"/>
    </xf>
    <xf numFmtId="0" fontId="1" fillId="2" borderId="2" xfId="0" applyFont="1" applyFill="1" applyBorder="1" applyAlignment="1">
      <alignment horizontal="right"/>
    </xf>
    <xf numFmtId="0" fontId="1" fillId="2" borderId="3" xfId="0" applyFont="1" applyFill="1" applyBorder="1" applyAlignment="1">
      <alignment horizontal="right"/>
    </xf>
    <xf numFmtId="0" fontId="1" fillId="0" borderId="4" xfId="0" applyFont="1" applyBorder="1"/>
    <xf numFmtId="0" fontId="1" fillId="0" borderId="5" xfId="0" applyFont="1" applyBorder="1" applyAlignment="1">
      <alignment horizontal="left"/>
    </xf>
    <xf numFmtId="176" fontId="1" fillId="0" borderId="5" xfId="0" applyNumberFormat="1" applyFont="1" applyBorder="1" applyAlignment="1">
      <alignment horizontal="right"/>
    </xf>
    <xf numFmtId="0" fontId="1" fillId="0" borderId="6" xfId="0" applyFont="1" applyBorder="1"/>
    <xf numFmtId="176" fontId="1" fillId="0" borderId="0" xfId="0" applyNumberFormat="1" applyFont="1" applyAlignment="1">
      <alignment horizontal="right"/>
    </xf>
    <xf numFmtId="176" fontId="1" fillId="0" borderId="7" xfId="0" applyNumberFormat="1" applyFont="1" applyBorder="1" applyAlignment="1">
      <alignment horizontal="right"/>
    </xf>
    <xf numFmtId="0" fontId="1" fillId="0" borderId="8" xfId="0" applyFont="1" applyBorder="1"/>
    <xf numFmtId="0" fontId="1" fillId="0" borderId="9" xfId="0" applyFont="1" applyBorder="1" applyAlignment="1">
      <alignment horizontal="left"/>
    </xf>
    <xf numFmtId="176" fontId="1" fillId="0" borderId="9" xfId="0" applyNumberFormat="1" applyFont="1" applyBorder="1" applyAlignment="1">
      <alignment horizontal="right"/>
    </xf>
    <xf numFmtId="176" fontId="1" fillId="0" borderId="10" xfId="0" applyNumberFormat="1" applyFont="1" applyBorder="1" applyAlignment="1">
      <alignment horizontal="right"/>
    </xf>
    <xf numFmtId="0" fontId="1" fillId="3" borderId="1" xfId="0" applyFont="1" applyFill="1" applyBorder="1"/>
    <xf numFmtId="0" fontId="1" fillId="3" borderId="2" xfId="0" applyFont="1" applyFill="1" applyBorder="1" applyAlignment="1">
      <alignment horizontal="left"/>
    </xf>
    <xf numFmtId="176" fontId="1" fillId="3" borderId="2" xfId="0" applyNumberFormat="1" applyFont="1" applyFill="1" applyBorder="1" applyAlignment="1">
      <alignment horizontal="right"/>
    </xf>
    <xf numFmtId="176" fontId="1" fillId="3" borderId="3" xfId="0" applyNumberFormat="1" applyFont="1" applyFill="1" applyBorder="1" applyAlignment="1">
      <alignment horizontal="right"/>
    </xf>
    <xf numFmtId="0" fontId="2" fillId="2" borderId="2" xfId="0" applyFont="1" applyFill="1" applyBorder="1" applyAlignment="1">
      <alignment horizontal="right"/>
    </xf>
    <xf numFmtId="3" fontId="1" fillId="0" borderId="0" xfId="0" applyNumberFormat="1" applyFont="1" applyAlignment="1">
      <alignment horizontal="left"/>
    </xf>
    <xf numFmtId="177" fontId="2" fillId="0" borderId="5" xfId="0" applyNumberFormat="1" applyFont="1" applyBorder="1"/>
    <xf numFmtId="177" fontId="2" fillId="0" borderId="0" xfId="0" applyNumberFormat="1" applyFont="1" applyAlignment="1">
      <alignment horizontal="right"/>
    </xf>
    <xf numFmtId="0" fontId="1" fillId="0" borderId="0" xfId="0" applyFont="1" applyAlignment="1">
      <alignment horizontal="left" vertical="center"/>
    </xf>
    <xf numFmtId="177" fontId="2" fillId="0" borderId="0" xfId="0" applyNumberFormat="1" applyFont="1"/>
    <xf numFmtId="177" fontId="1" fillId="0" borderId="0" xfId="0" applyNumberFormat="1" applyFont="1" applyAlignment="1">
      <alignment vertical="center"/>
    </xf>
    <xf numFmtId="177" fontId="1" fillId="0" borderId="0" xfId="0" applyNumberFormat="1" applyFont="1" applyAlignment="1">
      <alignment horizontal="right"/>
    </xf>
    <xf numFmtId="177" fontId="1" fillId="0" borderId="0" xfId="0" applyNumberFormat="1" applyFont="1" applyAlignment="1">
      <alignment horizontal="left" vertical="center"/>
    </xf>
    <xf numFmtId="177" fontId="1" fillId="0" borderId="7" xfId="0" applyNumberFormat="1" applyFont="1" applyBorder="1" applyAlignment="1">
      <alignment horizontal="right" vertical="center"/>
    </xf>
    <xf numFmtId="177" fontId="1" fillId="0" borderId="0" xfId="0" applyNumberFormat="1" applyFont="1" applyAlignment="1">
      <alignment horizontal="right" vertical="center"/>
    </xf>
    <xf numFmtId="0" fontId="1" fillId="4" borderId="0" xfId="0" applyFont="1" applyFill="1"/>
    <xf numFmtId="0" fontId="1" fillId="5" borderId="0" xfId="0" applyFont="1" applyFill="1"/>
    <xf numFmtId="177" fontId="2" fillId="0" borderId="7" xfId="0" applyNumberFormat="1" applyFont="1" applyBorder="1"/>
    <xf numFmtId="0" fontId="1" fillId="0" borderId="0" xfId="0" applyFont="1" applyAlignment="1">
      <alignment vertical="center"/>
    </xf>
    <xf numFmtId="10" fontId="1" fillId="0" borderId="0" xfId="0" applyNumberFormat="1" applyFont="1" applyAlignment="1">
      <alignment vertical="center"/>
    </xf>
    <xf numFmtId="177" fontId="2" fillId="0" borderId="7" xfId="0" applyNumberFormat="1" applyFont="1" applyBorder="1" applyAlignment="1">
      <alignment horizontal="right"/>
    </xf>
    <xf numFmtId="177" fontId="1" fillId="0" borderId="0" xfId="0" applyNumberFormat="1" applyFont="1"/>
    <xf numFmtId="177" fontId="1" fillId="0" borderId="7" xfId="0" applyNumberFormat="1" applyFont="1" applyBorder="1"/>
    <xf numFmtId="3" fontId="1" fillId="0" borderId="0" xfId="0" applyNumberFormat="1" applyFont="1"/>
    <xf numFmtId="177" fontId="1" fillId="0" borderId="7" xfId="0" applyNumberFormat="1" applyFont="1" applyBorder="1" applyAlignment="1">
      <alignment horizontal="right"/>
    </xf>
    <xf numFmtId="10" fontId="1" fillId="0" borderId="0" xfId="0" applyNumberFormat="1" applyFont="1"/>
    <xf numFmtId="3" fontId="1" fillId="0" borderId="5" xfId="0" applyNumberFormat="1" applyFont="1" applyBorder="1" applyAlignment="1">
      <alignment horizontal="left"/>
    </xf>
    <xf numFmtId="177" fontId="2" fillId="0" borderId="5" xfId="0" applyNumberFormat="1" applyFont="1" applyBorder="1" applyAlignment="1">
      <alignment horizontal="right"/>
    </xf>
    <xf numFmtId="178" fontId="1" fillId="0" borderId="0" xfId="0" applyNumberFormat="1" applyFont="1"/>
    <xf numFmtId="4" fontId="1" fillId="0" borderId="0" xfId="0" applyNumberFormat="1" applyFont="1"/>
    <xf numFmtId="177" fontId="3" fillId="0" borderId="0" xfId="0" applyNumberFormat="1" applyFont="1" applyAlignment="1">
      <alignment horizontal="right"/>
    </xf>
    <xf numFmtId="49" fontId="1" fillId="0" borderId="0" xfId="0" applyNumberFormat="1" applyFont="1"/>
    <xf numFmtId="177" fontId="4" fillId="4" borderId="0" xfId="0" applyNumberFormat="1" applyFont="1" applyFill="1"/>
    <xf numFmtId="3" fontId="1" fillId="3" borderId="2" xfId="0" applyNumberFormat="1" applyFont="1" applyFill="1" applyBorder="1" applyAlignment="1">
      <alignment horizontal="left"/>
    </xf>
    <xf numFmtId="177" fontId="2" fillId="3" borderId="2" xfId="0" applyNumberFormat="1" applyFont="1" applyFill="1" applyBorder="1" applyAlignment="1">
      <alignment horizontal="right"/>
    </xf>
    <xf numFmtId="3" fontId="1" fillId="0" borderId="0" xfId="0" applyNumberFormat="1" applyFont="1" applyAlignment="1">
      <alignment horizontal="left" vertical="center"/>
    </xf>
    <xf numFmtId="0" fontId="1" fillId="6" borderId="0" xfId="0" applyFont="1" applyFill="1"/>
    <xf numFmtId="177" fontId="5" fillId="0" borderId="0" xfId="0" applyNumberFormat="1" applyFont="1" applyAlignment="1">
      <alignment horizontal="right"/>
    </xf>
    <xf numFmtId="2" fontId="1" fillId="0" borderId="0" xfId="0" applyNumberFormat="1" applyFont="1"/>
    <xf numFmtId="3" fontId="6" fillId="0" borderId="0" xfId="0" applyNumberFormat="1" applyFont="1" applyAlignment="1">
      <alignment horizontal="right"/>
    </xf>
    <xf numFmtId="177" fontId="3" fillId="0" borderId="0" xfId="0" applyNumberFormat="1" applyFont="1"/>
    <xf numFmtId="3" fontId="6" fillId="0" borderId="0" xfId="0" applyNumberFormat="1" applyFont="1" applyAlignment="1">
      <alignment horizontal="right" vertical="center"/>
    </xf>
    <xf numFmtId="4" fontId="6" fillId="0" borderId="0" xfId="0" applyNumberFormat="1" applyFont="1" applyAlignment="1">
      <alignment horizontal="right" vertical="center"/>
    </xf>
    <xf numFmtId="2" fontId="6" fillId="0" borderId="0" xfId="0" applyNumberFormat="1" applyFont="1"/>
    <xf numFmtId="177" fontId="3" fillId="4" borderId="0" xfId="0" applyNumberFormat="1" applyFont="1" applyFill="1"/>
    <xf numFmtId="3" fontId="5" fillId="0" borderId="0" xfId="0" applyNumberFormat="1" applyFont="1" applyAlignment="1">
      <alignment horizontal="right"/>
    </xf>
    <xf numFmtId="0" fontId="1" fillId="0" borderId="9" xfId="0" applyFont="1" applyBorder="1"/>
    <xf numFmtId="177" fontId="5" fillId="0" borderId="7" xfId="0" applyNumberFormat="1" applyFont="1" applyBorder="1" applyAlignment="1">
      <alignment horizontal="right"/>
    </xf>
    <xf numFmtId="177" fontId="5" fillId="0" borderId="0" xfId="0" applyNumberFormat="1" applyFont="1"/>
    <xf numFmtId="177" fontId="5" fillId="4" borderId="0" xfId="0" applyNumberFormat="1" applyFont="1" applyFill="1"/>
    <xf numFmtId="0" fontId="1" fillId="7" borderId="0" xfId="0" applyFont="1" applyFill="1"/>
    <xf numFmtId="3" fontId="1" fillId="7" borderId="0" xfId="0" applyNumberFormat="1" applyFont="1" applyFill="1"/>
    <xf numFmtId="0" fontId="1" fillId="8" borderId="0" xfId="0" applyFont="1" applyFill="1"/>
    <xf numFmtId="0" fontId="7" fillId="0" borderId="0" xfId="0" applyFont="1"/>
    <xf numFmtId="0" fontId="1" fillId="0" borderId="0" xfId="0" quotePrefix="1" applyFont="1"/>
    <xf numFmtId="3" fontId="1" fillId="0" borderId="9" xfId="0" applyNumberFormat="1" applyFont="1" applyBorder="1"/>
    <xf numFmtId="0" fontId="1" fillId="9" borderId="8" xfId="0" applyFont="1" applyFill="1" applyBorder="1"/>
    <xf numFmtId="3" fontId="1" fillId="9" borderId="9" xfId="0" applyNumberFormat="1" applyFont="1" applyFill="1" applyBorder="1" applyAlignment="1">
      <alignment horizontal="left"/>
    </xf>
    <xf numFmtId="177" fontId="2" fillId="9" borderId="9" xfId="0" applyNumberFormat="1" applyFont="1" applyFill="1" applyBorder="1" applyAlignment="1">
      <alignment horizontal="right"/>
    </xf>
    <xf numFmtId="0" fontId="1" fillId="2" borderId="2" xfId="0" applyFont="1" applyFill="1" applyBorder="1"/>
    <xf numFmtId="10" fontId="1" fillId="0" borderId="0" xfId="0" applyNumberFormat="1" applyFont="1" applyAlignment="1">
      <alignment horizontal="right"/>
    </xf>
    <xf numFmtId="10" fontId="1" fillId="0" borderId="7" xfId="0" applyNumberFormat="1" applyFont="1" applyBorder="1" applyAlignment="1">
      <alignment horizontal="right"/>
    </xf>
    <xf numFmtId="0" fontId="1" fillId="3" borderId="4" xfId="0" applyFont="1" applyFill="1" applyBorder="1"/>
    <xf numFmtId="0" fontId="1" fillId="3" borderId="5" xfId="0" applyFont="1" applyFill="1" applyBorder="1"/>
    <xf numFmtId="176" fontId="1" fillId="3" borderId="5" xfId="0" applyNumberFormat="1" applyFont="1" applyFill="1" applyBorder="1" applyAlignment="1">
      <alignment horizontal="right"/>
    </xf>
    <xf numFmtId="176" fontId="1" fillId="3" borderId="11" xfId="0" applyNumberFormat="1" applyFont="1" applyFill="1" applyBorder="1" applyAlignment="1">
      <alignment horizontal="right"/>
    </xf>
    <xf numFmtId="0" fontId="1" fillId="3" borderId="6" xfId="0" applyFont="1" applyFill="1" applyBorder="1"/>
    <xf numFmtId="0" fontId="1" fillId="3" borderId="0" xfId="0" applyFont="1" applyFill="1"/>
    <xf numFmtId="176" fontId="1" fillId="3" borderId="0" xfId="0" applyNumberFormat="1" applyFont="1" applyFill="1" applyAlignment="1">
      <alignment horizontal="right"/>
    </xf>
    <xf numFmtId="176" fontId="1" fillId="3" borderId="7" xfId="0" applyNumberFormat="1" applyFont="1" applyFill="1" applyBorder="1" applyAlignment="1">
      <alignment horizontal="right"/>
    </xf>
    <xf numFmtId="0" fontId="8" fillId="0" borderId="0" xfId="0" applyFont="1"/>
    <xf numFmtId="0" fontId="1" fillId="10" borderId="1" xfId="0" applyFont="1" applyFill="1" applyBorder="1"/>
    <xf numFmtId="0" fontId="1" fillId="10" borderId="2" xfId="0" applyFont="1" applyFill="1" applyBorder="1"/>
    <xf numFmtId="0" fontId="1" fillId="10" borderId="2" xfId="0" applyFont="1" applyFill="1" applyBorder="1" applyAlignment="1">
      <alignment horizontal="right"/>
    </xf>
    <xf numFmtId="0" fontId="1" fillId="10" borderId="3" xfId="0" applyFont="1" applyFill="1" applyBorder="1" applyAlignment="1">
      <alignment horizontal="right"/>
    </xf>
    <xf numFmtId="3" fontId="1" fillId="3" borderId="5" xfId="0" applyNumberFormat="1" applyFont="1" applyFill="1" applyBorder="1"/>
    <xf numFmtId="177" fontId="1" fillId="3" borderId="5" xfId="0" applyNumberFormat="1" applyFont="1" applyFill="1" applyBorder="1" applyAlignment="1">
      <alignment horizontal="right"/>
    </xf>
    <xf numFmtId="177" fontId="1" fillId="3" borderId="11" xfId="0" applyNumberFormat="1" applyFont="1" applyFill="1" applyBorder="1" applyAlignment="1">
      <alignment horizontal="right"/>
    </xf>
    <xf numFmtId="3" fontId="1" fillId="3" borderId="0" xfId="0" applyNumberFormat="1" applyFont="1" applyFill="1"/>
    <xf numFmtId="177" fontId="1" fillId="0" borderId="9" xfId="0" applyNumberFormat="1" applyFont="1" applyBorder="1" applyAlignment="1">
      <alignment horizontal="right"/>
    </xf>
    <xf numFmtId="177" fontId="1" fillId="0" borderId="10" xfId="0" applyNumberFormat="1" applyFont="1" applyBorder="1" applyAlignment="1">
      <alignment horizontal="right"/>
    </xf>
    <xf numFmtId="4" fontId="1" fillId="0" borderId="0" xfId="0" applyNumberFormat="1" applyFont="1" applyAlignment="1">
      <alignment horizontal="right"/>
    </xf>
    <xf numFmtId="0" fontId="1" fillId="2" borderId="4" xfId="0" applyFont="1" applyFill="1" applyBorder="1" applyAlignment="1">
      <alignment horizontal="left"/>
    </xf>
    <xf numFmtId="0" fontId="1" fillId="2" borderId="5" xfId="0" applyFont="1" applyFill="1" applyBorder="1" applyAlignment="1">
      <alignment horizontal="left"/>
    </xf>
    <xf numFmtId="0" fontId="1" fillId="2" borderId="5" xfId="0" applyFont="1" applyFill="1" applyBorder="1" applyAlignment="1">
      <alignment horizontal="right"/>
    </xf>
    <xf numFmtId="0" fontId="1" fillId="2" borderId="11" xfId="0" applyFont="1" applyFill="1" applyBorder="1" applyAlignment="1">
      <alignment horizontal="right"/>
    </xf>
    <xf numFmtId="0" fontId="1" fillId="3" borderId="6" xfId="0" applyFont="1" applyFill="1" applyBorder="1" applyAlignment="1">
      <alignment horizontal="left"/>
    </xf>
    <xf numFmtId="0" fontId="1" fillId="3" borderId="0" xfId="0" applyFont="1" applyFill="1" applyAlignment="1">
      <alignment horizontal="left"/>
    </xf>
    <xf numFmtId="176" fontId="9" fillId="3" borderId="0" xfId="0" applyNumberFormat="1" applyFont="1" applyFill="1"/>
    <xf numFmtId="0" fontId="1" fillId="0" borderId="6" xfId="0" applyFont="1" applyBorder="1" applyAlignment="1">
      <alignment horizontal="left"/>
    </xf>
    <xf numFmtId="176" fontId="9" fillId="0" borderId="0" xfId="0" applyNumberFormat="1" applyFont="1"/>
    <xf numFmtId="176" fontId="9" fillId="0" borderId="7" xfId="0" applyNumberFormat="1" applyFont="1" applyBorder="1"/>
    <xf numFmtId="3" fontId="9" fillId="4" borderId="0" xfId="0" applyNumberFormat="1" applyFont="1" applyFill="1"/>
    <xf numFmtId="176" fontId="10" fillId="0" borderId="0" xfId="0" applyNumberFormat="1" applyFont="1"/>
    <xf numFmtId="176" fontId="9" fillId="3" borderId="0" xfId="0" applyNumberFormat="1" applyFont="1" applyFill="1" applyAlignment="1">
      <alignment horizontal="right"/>
    </xf>
    <xf numFmtId="0" fontId="1" fillId="0" borderId="8" xfId="0" applyFont="1" applyBorder="1" applyAlignment="1">
      <alignment horizontal="left"/>
    </xf>
    <xf numFmtId="3" fontId="1" fillId="3" borderId="0" xfId="0" applyNumberFormat="1" applyFont="1" applyFill="1" applyAlignment="1">
      <alignment horizontal="left"/>
    </xf>
    <xf numFmtId="177" fontId="9" fillId="3" borderId="0" xfId="0" applyNumberFormat="1" applyFont="1" applyFill="1"/>
    <xf numFmtId="3" fontId="11" fillId="3" borderId="0" xfId="0" applyNumberFormat="1" applyFont="1" applyFill="1" applyAlignment="1">
      <alignment vertical="top"/>
    </xf>
    <xf numFmtId="177" fontId="6" fillId="0" borderId="0" xfId="0" applyNumberFormat="1" applyFont="1" applyAlignment="1">
      <alignment horizontal="right"/>
    </xf>
    <xf numFmtId="3" fontId="1" fillId="0" borderId="0" xfId="0" applyNumberFormat="1" applyFont="1" applyAlignment="1">
      <alignment horizontal="right"/>
    </xf>
    <xf numFmtId="3" fontId="1" fillId="0" borderId="7" xfId="0" applyNumberFormat="1" applyFont="1" applyBorder="1" applyAlignment="1">
      <alignment horizontal="right"/>
    </xf>
    <xf numFmtId="3" fontId="1" fillId="0" borderId="6" xfId="0" applyNumberFormat="1" applyFont="1" applyBorder="1" applyAlignment="1">
      <alignment horizontal="left"/>
    </xf>
    <xf numFmtId="177" fontId="6" fillId="0" borderId="0" xfId="0" applyNumberFormat="1" applyFont="1"/>
    <xf numFmtId="0" fontId="12" fillId="0" borderId="0" xfId="0" applyFont="1" applyAlignment="1">
      <alignment horizontal="left"/>
    </xf>
    <xf numFmtId="177" fontId="13" fillId="0" borderId="0" xfId="0" applyNumberFormat="1" applyFont="1"/>
    <xf numFmtId="177" fontId="14" fillId="0" borderId="0" xfId="0" applyNumberFormat="1" applyFont="1"/>
    <xf numFmtId="177" fontId="15" fillId="0" borderId="0" xfId="0" applyNumberFormat="1" applyFont="1"/>
    <xf numFmtId="0" fontId="15" fillId="0" borderId="0" xfId="0" applyFont="1"/>
    <xf numFmtId="177" fontId="9" fillId="4" borderId="0" xfId="0" applyNumberFormat="1" applyFont="1" applyFill="1"/>
    <xf numFmtId="0" fontId="16" fillId="0" borderId="0" xfId="0" applyFont="1"/>
    <xf numFmtId="3" fontId="13" fillId="0" borderId="0" xfId="0" applyNumberFormat="1" applyFont="1"/>
    <xf numFmtId="3" fontId="17" fillId="0" borderId="0" xfId="0" applyNumberFormat="1" applyFont="1"/>
    <xf numFmtId="3" fontId="15" fillId="0" borderId="0" xfId="0" applyNumberFormat="1" applyFont="1"/>
    <xf numFmtId="177" fontId="6" fillId="4" borderId="0" xfId="0" applyNumberFormat="1" applyFont="1" applyFill="1"/>
    <xf numFmtId="0" fontId="18" fillId="4" borderId="0" xfId="0" applyFont="1" applyFill="1"/>
    <xf numFmtId="3" fontId="19" fillId="4" borderId="0" xfId="0" applyNumberFormat="1" applyFont="1" applyFill="1"/>
    <xf numFmtId="3" fontId="14" fillId="0" borderId="0" xfId="0" applyNumberFormat="1" applyFont="1"/>
    <xf numFmtId="177" fontId="13" fillId="0" borderId="0" xfId="0" applyNumberFormat="1" applyFont="1" applyAlignment="1">
      <alignment horizontal="right"/>
    </xf>
    <xf numFmtId="3" fontId="13" fillId="0" borderId="0" xfId="0" applyNumberFormat="1" applyFont="1" applyAlignment="1">
      <alignment horizontal="right"/>
    </xf>
    <xf numFmtId="177" fontId="6" fillId="3" borderId="0" xfId="0" applyNumberFormat="1" applyFont="1" applyFill="1"/>
    <xf numFmtId="3" fontId="1" fillId="3" borderId="0" xfId="0" applyNumberFormat="1" applyFont="1" applyFill="1" applyAlignment="1">
      <alignment horizontal="right"/>
    </xf>
    <xf numFmtId="3" fontId="1" fillId="3" borderId="7" xfId="0" applyNumberFormat="1" applyFont="1" applyFill="1" applyBorder="1" applyAlignment="1">
      <alignment horizontal="right"/>
    </xf>
    <xf numFmtId="177" fontId="9" fillId="0" borderId="0" xfId="0" applyNumberFormat="1" applyFont="1" applyAlignment="1">
      <alignment horizontal="right"/>
    </xf>
    <xf numFmtId="177" fontId="9" fillId="0" borderId="7" xfId="0" applyNumberFormat="1" applyFont="1" applyBorder="1" applyAlignment="1">
      <alignment horizontal="right"/>
    </xf>
    <xf numFmtId="177" fontId="9" fillId="4" borderId="7" xfId="0" applyNumberFormat="1" applyFont="1" applyFill="1" applyBorder="1"/>
    <xf numFmtId="3" fontId="9" fillId="0" borderId="0" xfId="0" applyNumberFormat="1" applyFont="1" applyAlignment="1">
      <alignment horizontal="right"/>
    </xf>
    <xf numFmtId="0" fontId="1" fillId="0" borderId="7" xfId="0" applyFont="1" applyBorder="1" applyAlignment="1">
      <alignment horizontal="right"/>
    </xf>
    <xf numFmtId="177" fontId="9" fillId="0" borderId="0" xfId="0" applyNumberFormat="1" applyFont="1"/>
    <xf numFmtId="0" fontId="1" fillId="11" borderId="0" xfId="0" applyFont="1" applyFill="1" applyAlignment="1">
      <alignment horizontal="left"/>
    </xf>
    <xf numFmtId="0" fontId="9" fillId="0" borderId="0" xfId="0" applyFont="1" applyAlignment="1">
      <alignment horizontal="right"/>
    </xf>
    <xf numFmtId="0" fontId="1" fillId="12" borderId="0" xfId="0" applyFont="1" applyFill="1" applyAlignment="1">
      <alignment horizontal="left"/>
    </xf>
    <xf numFmtId="0" fontId="6" fillId="4" borderId="0" xfId="0" applyFont="1" applyFill="1"/>
    <xf numFmtId="0" fontId="6" fillId="12" borderId="0" xfId="0" applyFont="1" applyFill="1"/>
    <xf numFmtId="0" fontId="1" fillId="8" borderId="6" xfId="0" applyFont="1" applyFill="1" applyBorder="1" applyAlignment="1">
      <alignment horizontal="left"/>
    </xf>
    <xf numFmtId="3" fontId="6" fillId="8" borderId="0" xfId="0" applyNumberFormat="1" applyFont="1" applyFill="1" applyAlignment="1">
      <alignment horizontal="right"/>
    </xf>
    <xf numFmtId="0" fontId="1" fillId="8" borderId="0" xfId="0" applyFont="1" applyFill="1" applyAlignment="1">
      <alignment horizontal="right"/>
    </xf>
    <xf numFmtId="0" fontId="1" fillId="8" borderId="7" xfId="0" applyFont="1" applyFill="1" applyBorder="1" applyAlignment="1">
      <alignment horizontal="right"/>
    </xf>
    <xf numFmtId="3" fontId="1" fillId="4" borderId="0" xfId="0" applyNumberFormat="1" applyFont="1" applyFill="1" applyAlignment="1">
      <alignment horizontal="right"/>
    </xf>
    <xf numFmtId="0" fontId="1" fillId="4" borderId="0" xfId="0" applyFont="1" applyFill="1" applyAlignment="1">
      <alignment horizontal="right"/>
    </xf>
    <xf numFmtId="0" fontId="1" fillId="4" borderId="7" xfId="0" applyFont="1" applyFill="1" applyBorder="1" applyAlignment="1">
      <alignment horizontal="right"/>
    </xf>
    <xf numFmtId="0" fontId="6" fillId="4" borderId="0" xfId="0" applyFont="1" applyFill="1" applyAlignment="1">
      <alignment horizontal="right"/>
    </xf>
    <xf numFmtId="0" fontId="9" fillId="0" borderId="0" xfId="0" applyFont="1"/>
    <xf numFmtId="3" fontId="1" fillId="4" borderId="7" xfId="0" applyNumberFormat="1" applyFont="1" applyFill="1" applyBorder="1" applyAlignment="1">
      <alignment horizontal="right"/>
    </xf>
    <xf numFmtId="3" fontId="10" fillId="0" borderId="0" xfId="0" applyNumberFormat="1" applyFont="1" applyAlignment="1">
      <alignment horizontal="right"/>
    </xf>
    <xf numFmtId="177" fontId="6" fillId="3" borderId="0" xfId="0" applyNumberFormat="1" applyFont="1" applyFill="1" applyAlignment="1">
      <alignment horizontal="right"/>
    </xf>
    <xf numFmtId="3" fontId="6" fillId="3" borderId="0" xfId="0" applyNumberFormat="1" applyFont="1" applyFill="1" applyAlignment="1">
      <alignment horizontal="right"/>
    </xf>
    <xf numFmtId="177" fontId="1" fillId="0" borderId="0" xfId="0" applyNumberFormat="1" applyFont="1" applyAlignment="1">
      <alignment horizontal="left"/>
    </xf>
    <xf numFmtId="177" fontId="1" fillId="0" borderId="9" xfId="0" applyNumberFormat="1" applyFont="1" applyBorder="1" applyAlignment="1">
      <alignment horizontal="left"/>
    </xf>
    <xf numFmtId="177" fontId="6" fillId="4" borderId="9" xfId="0" applyNumberFormat="1" applyFont="1" applyFill="1" applyBorder="1"/>
    <xf numFmtId="3" fontId="1" fillId="0" borderId="9" xfId="0" applyNumberFormat="1" applyFont="1" applyBorder="1" applyAlignment="1">
      <alignment horizontal="right"/>
    </xf>
    <xf numFmtId="3" fontId="1" fillId="0" borderId="10" xfId="0" applyNumberFormat="1" applyFont="1" applyBorder="1" applyAlignment="1">
      <alignment horizontal="right"/>
    </xf>
    <xf numFmtId="179" fontId="1" fillId="0" borderId="0" xfId="0" applyNumberFormat="1" applyFont="1"/>
    <xf numFmtId="0" fontId="1" fillId="2" borderId="0" xfId="0" applyFont="1" applyFill="1"/>
    <xf numFmtId="176" fontId="1" fillId="2" borderId="0" xfId="0" applyNumberFormat="1" applyFont="1" applyFill="1" applyAlignment="1">
      <alignment horizontal="right"/>
    </xf>
    <xf numFmtId="0" fontId="2" fillId="0" borderId="0" xfId="0" applyFont="1" applyAlignment="1">
      <alignment horizontal="center"/>
    </xf>
    <xf numFmtId="0" fontId="1" fillId="0" borderId="0" xfId="0" applyFont="1" applyAlignment="1">
      <alignment horizontal="center"/>
    </xf>
    <xf numFmtId="0" fontId="21" fillId="0" borderId="0" xfId="0" applyFont="1"/>
    <xf numFmtId="0" fontId="22" fillId="0" borderId="0" xfId="0" applyFont="1"/>
    <xf numFmtId="0" fontId="23" fillId="0" borderId="0" xfId="0" applyFont="1"/>
    <xf numFmtId="0" fontId="24" fillId="0" borderId="0" xfId="0" applyFont="1"/>
    <xf numFmtId="0" fontId="10" fillId="0" borderId="0" xfId="0" applyFont="1"/>
    <xf numFmtId="0" fontId="25" fillId="0" borderId="0" xfId="0" applyFont="1"/>
    <xf numFmtId="0" fontId="8" fillId="0" borderId="0" xfId="0" applyFont="1" applyAlignment="1">
      <alignment horizontal="right"/>
    </xf>
    <xf numFmtId="0" fontId="26" fillId="0" borderId="0" xfId="0" applyFont="1"/>
    <xf numFmtId="179" fontId="1" fillId="0" borderId="0" xfId="0" applyNumberFormat="1" applyFont="1" applyAlignment="1">
      <alignment horizontal="right"/>
    </xf>
    <xf numFmtId="180" fontId="1" fillId="0" borderId="0" xfId="0" applyNumberFormat="1" applyFont="1" applyAlignment="1">
      <alignment horizontal="right"/>
    </xf>
    <xf numFmtId="181" fontId="1" fillId="0" borderId="0" xfId="0" applyNumberFormat="1" applyFont="1" applyAlignment="1">
      <alignment horizontal="right"/>
    </xf>
    <xf numFmtId="0" fontId="27" fillId="0" borderId="0" xfId="0" applyFont="1"/>
    <xf numFmtId="49" fontId="1" fillId="0" borderId="0" xfId="0" applyNumberFormat="1" applyFont="1" applyAlignment="1">
      <alignment horizontal="left" vertical="center"/>
    </xf>
    <xf numFmtId="1" fontId="1" fillId="0" borderId="0" xfId="0" applyNumberFormat="1" applyFont="1"/>
    <xf numFmtId="0" fontId="28" fillId="0" borderId="0" xfId="0" applyFont="1"/>
    <xf numFmtId="3" fontId="29" fillId="0" borderId="0" xfId="0" applyNumberFormat="1" applyFont="1" applyAlignment="1">
      <alignment horizontal="right" vertical="top"/>
    </xf>
    <xf numFmtId="4" fontId="8" fillId="13" borderId="0" xfId="0" applyNumberFormat="1" applyFont="1" applyFill="1"/>
    <xf numFmtId="0" fontId="8" fillId="14" borderId="0" xfId="0" applyFont="1" applyFill="1" applyAlignment="1">
      <alignment horizontal="right"/>
    </xf>
    <xf numFmtId="0" fontId="30" fillId="14" borderId="0" xfId="0" applyFont="1" applyFill="1"/>
    <xf numFmtId="4" fontId="8" fillId="14" borderId="0" xfId="0" applyNumberFormat="1" applyFont="1" applyFill="1"/>
    <xf numFmtId="4" fontId="30" fillId="0" borderId="0" xfId="0" applyNumberFormat="1" applyFont="1"/>
    <xf numFmtId="177" fontId="8" fillId="0" borderId="0" xfId="0" applyNumberFormat="1" applyFont="1"/>
    <xf numFmtId="177" fontId="30" fillId="0" borderId="0" xfId="0" applyNumberFormat="1" applyFont="1"/>
    <xf numFmtId="177" fontId="31" fillId="0" borderId="0" xfId="0" applyNumberFormat="1" applyFont="1"/>
    <xf numFmtId="0" fontId="6" fillId="4" borderId="0" xfId="0" applyFont="1" applyFill="1" applyAlignment="1">
      <alignment horizontal="center"/>
    </xf>
    <xf numFmtId="0" fontId="32" fillId="4" borderId="0" xfId="0" applyFont="1" applyFill="1"/>
    <xf numFmtId="177" fontId="33" fillId="0" borderId="0" xfId="0" applyNumberFormat="1" applyFont="1"/>
    <xf numFmtId="177" fontId="34" fillId="0" borderId="0" xfId="0" applyNumberFormat="1" applyFont="1"/>
    <xf numFmtId="0" fontId="35" fillId="0" borderId="0" xfId="0" applyFont="1"/>
    <xf numFmtId="0" fontId="30" fillId="0" borderId="0" xfId="0" applyFont="1"/>
    <xf numFmtId="177" fontId="36" fillId="0" borderId="0" xfId="0" applyNumberFormat="1" applyFont="1" applyAlignment="1">
      <alignment horizontal="right" vertical="top"/>
    </xf>
    <xf numFmtId="177" fontId="36" fillId="0" borderId="0" xfId="0" applyNumberFormat="1" applyFont="1"/>
    <xf numFmtId="177" fontId="37" fillId="0" borderId="0" xfId="0" applyNumberFormat="1" applyFont="1" applyAlignment="1">
      <alignment horizontal="right"/>
    </xf>
    <xf numFmtId="4" fontId="8" fillId="0" borderId="0" xfId="0" applyNumberFormat="1" applyFont="1"/>
    <xf numFmtId="0" fontId="8" fillId="4" borderId="0" xfId="0" applyFont="1" applyFill="1"/>
    <xf numFmtId="0" fontId="38" fillId="14" borderId="0" xfId="0" applyFont="1" applyFill="1"/>
    <xf numFmtId="0" fontId="39" fillId="14" borderId="0" xfId="0" applyFont="1" applyFill="1" applyAlignment="1">
      <alignment horizontal="right"/>
    </xf>
    <xf numFmtId="0" fontId="39" fillId="14" borderId="0" xfId="0" applyFont="1" applyFill="1"/>
    <xf numFmtId="0" fontId="40" fillId="14" borderId="0" xfId="0" applyFont="1" applyFill="1"/>
    <xf numFmtId="0" fontId="40" fillId="4" borderId="0" xfId="0" applyFont="1" applyFill="1"/>
    <xf numFmtId="0" fontId="10" fillId="14" borderId="0" xfId="0" applyFont="1" applyFill="1"/>
    <xf numFmtId="0" fontId="1" fillId="14" borderId="0" xfId="0" applyFont="1" applyFill="1"/>
    <xf numFmtId="4" fontId="41" fillId="14" borderId="0" xfId="0" applyNumberFormat="1" applyFont="1" applyFill="1"/>
    <xf numFmtId="177" fontId="8" fillId="0" borderId="0" xfId="0" applyNumberFormat="1" applyFont="1" applyAlignment="1">
      <alignment horizontal="right"/>
    </xf>
    <xf numFmtId="177" fontId="42" fillId="4" borderId="0" xfId="0" applyNumberFormat="1" applyFont="1" applyFill="1" applyAlignment="1">
      <alignment horizontal="right"/>
    </xf>
    <xf numFmtId="0" fontId="2" fillId="0" borderId="0" xfId="0" applyFont="1"/>
    <xf numFmtId="177" fontId="43" fillId="0" borderId="0" xfId="0" applyNumberFormat="1" applyFont="1"/>
    <xf numFmtId="177" fontId="39" fillId="0" borderId="0" xfId="0" applyNumberFormat="1" applyFont="1"/>
    <xf numFmtId="177" fontId="44" fillId="0" borderId="0" xfId="0" applyNumberFormat="1" applyFont="1"/>
    <xf numFmtId="177" fontId="42" fillId="0" borderId="0" xfId="0" applyNumberFormat="1" applyFont="1" applyAlignment="1">
      <alignment horizontal="right"/>
    </xf>
    <xf numFmtId="177" fontId="31" fillId="4" borderId="0" xfId="0" applyNumberFormat="1" applyFont="1" applyFill="1"/>
    <xf numFmtId="177" fontId="30" fillId="4" borderId="0" xfId="0" applyNumberFormat="1" applyFont="1" applyFill="1"/>
    <xf numFmtId="0" fontId="41" fillId="14" borderId="0" xfId="0" applyFont="1" applyFill="1"/>
    <xf numFmtId="177" fontId="45" fillId="4" borderId="0" xfId="0" applyNumberFormat="1" applyFont="1" applyFill="1"/>
    <xf numFmtId="177" fontId="39" fillId="0" borderId="0" xfId="0" applyNumberFormat="1" applyFont="1" applyAlignment="1">
      <alignment horizontal="right"/>
    </xf>
    <xf numFmtId="4" fontId="46" fillId="0" borderId="0" xfId="0" applyNumberFormat="1" applyFont="1" applyAlignment="1">
      <alignment horizontal="right"/>
    </xf>
    <xf numFmtId="3" fontId="6" fillId="4" borderId="0" xfId="0" applyNumberFormat="1" applyFont="1" applyFill="1" applyAlignment="1">
      <alignment horizontal="right"/>
    </xf>
    <xf numFmtId="0" fontId="47" fillId="14" borderId="0" xfId="0" applyFont="1" applyFill="1"/>
    <xf numFmtId="0" fontId="32" fillId="14" borderId="0" xfId="0" applyFont="1" applyFill="1"/>
    <xf numFmtId="0" fontId="8" fillId="14" borderId="0" xfId="0" applyFont="1" applyFill="1"/>
    <xf numFmtId="4" fontId="41" fillId="4" borderId="0" xfId="0" applyNumberFormat="1" applyFont="1" applyFill="1"/>
    <xf numFmtId="0" fontId="43" fillId="0" borderId="0" xfId="0" applyFont="1"/>
    <xf numFmtId="0" fontId="39" fillId="0" borderId="0" xfId="0" applyFont="1"/>
    <xf numFmtId="0" fontId="1" fillId="13" borderId="0" xfId="0" applyFont="1" applyFill="1"/>
    <xf numFmtId="0" fontId="30" fillId="4" borderId="0" xfId="0" applyFont="1" applyFill="1"/>
    <xf numFmtId="177" fontId="48" fillId="0" borderId="0" xfId="0" applyNumberFormat="1" applyFont="1"/>
    <xf numFmtId="10" fontId="1" fillId="4" borderId="0" xfId="0" applyNumberFormat="1" applyFont="1" applyFill="1"/>
    <xf numFmtId="0" fontId="1" fillId="14" borderId="0" xfId="0" applyFont="1" applyFill="1" applyAlignment="1">
      <alignment horizontal="right"/>
    </xf>
    <xf numFmtId="4" fontId="1" fillId="4" borderId="0" xfId="0" applyNumberFormat="1" applyFont="1" applyFill="1"/>
    <xf numFmtId="4" fontId="49" fillId="14" borderId="0" xfId="0" applyNumberFormat="1" applyFont="1" applyFill="1"/>
    <xf numFmtId="4" fontId="1" fillId="14" borderId="0" xfId="0" applyNumberFormat="1" applyFont="1" applyFill="1"/>
    <xf numFmtId="0" fontId="6" fillId="0" borderId="0" xfId="0" applyFont="1"/>
    <xf numFmtId="3" fontId="25" fillId="0" borderId="0" xfId="0" applyNumberFormat="1" applyFont="1"/>
    <xf numFmtId="10" fontId="25" fillId="0" borderId="0" xfId="0" applyNumberFormat="1" applyFont="1"/>
    <xf numFmtId="177" fontId="32" fillId="0" borderId="0" xfId="0" applyNumberFormat="1" applyFont="1"/>
    <xf numFmtId="177" fontId="50" fillId="0" borderId="0" xfId="0" applyNumberFormat="1" applyFont="1"/>
    <xf numFmtId="0" fontId="51" fillId="0" borderId="0" xfId="0" applyFont="1"/>
    <xf numFmtId="0" fontId="52" fillId="0" borderId="0" xfId="0" applyFont="1"/>
    <xf numFmtId="0" fontId="53" fillId="15" borderId="12" xfId="0" applyFont="1" applyFill="1" applyBorder="1" applyAlignment="1">
      <alignment horizontal="left"/>
    </xf>
    <xf numFmtId="0" fontId="15" fillId="0" borderId="12" xfId="0" applyFont="1" applyBorder="1" applyAlignment="1">
      <alignment horizontal="left"/>
    </xf>
    <xf numFmtId="177" fontId="15" fillId="0" borderId="12" xfId="0" applyNumberFormat="1" applyFont="1" applyBorder="1" applyAlignment="1">
      <alignment horizontal="left"/>
    </xf>
    <xf numFmtId="0" fontId="54" fillId="0" borderId="0" xfId="0" applyFont="1"/>
    <xf numFmtId="3" fontId="39" fillId="0" borderId="0" xfId="0" applyNumberFormat="1" applyFont="1"/>
    <xf numFmtId="3" fontId="55" fillId="0" borderId="0" xfId="0" applyNumberFormat="1" applyFont="1"/>
    <xf numFmtId="0" fontId="56" fillId="0" borderId="0" xfId="0" applyFont="1"/>
    <xf numFmtId="0" fontId="15" fillId="16" borderId="12" xfId="0" applyFont="1" applyFill="1" applyBorder="1" applyAlignment="1">
      <alignment horizontal="left"/>
    </xf>
    <xf numFmtId="177" fontId="15" fillId="16" borderId="12" xfId="0" applyNumberFormat="1" applyFont="1" applyFill="1" applyBorder="1" applyAlignment="1">
      <alignment horizontal="left"/>
    </xf>
    <xf numFmtId="0" fontId="57" fillId="0" borderId="0" xfId="0" applyFont="1"/>
    <xf numFmtId="3" fontId="57" fillId="0" borderId="0" xfId="0" applyNumberFormat="1" applyFont="1"/>
    <xf numFmtId="0" fontId="58" fillId="0" borderId="0" xfId="0" applyFont="1"/>
    <xf numFmtId="3" fontId="15" fillId="0" borderId="12" xfId="0" applyNumberFormat="1" applyFont="1" applyBorder="1" applyAlignment="1">
      <alignment horizontal="left"/>
    </xf>
    <xf numFmtId="0" fontId="1" fillId="16" borderId="0" xfId="0" applyFont="1" applyFill="1"/>
    <xf numFmtId="3" fontId="15" fillId="16" borderId="12" xfId="0" applyNumberFormat="1" applyFont="1" applyFill="1" applyBorder="1" applyAlignment="1">
      <alignment horizontal="left"/>
    </xf>
    <xf numFmtId="0" fontId="59" fillId="0" borderId="0" xfId="0" applyFont="1"/>
    <xf numFmtId="4" fontId="8" fillId="13" borderId="4" xfId="0" applyNumberFormat="1" applyFont="1" applyFill="1" applyBorder="1"/>
    <xf numFmtId="0" fontId="1" fillId="14" borderId="5" xfId="0" applyFont="1" applyFill="1" applyBorder="1"/>
    <xf numFmtId="0" fontId="1" fillId="14" borderId="11" xfId="0" applyFont="1" applyFill="1" applyBorder="1"/>
    <xf numFmtId="0" fontId="6" fillId="0" borderId="13" xfId="0" applyFont="1" applyBorder="1" applyAlignment="1">
      <alignment horizontal="right"/>
    </xf>
    <xf numFmtId="4" fontId="8" fillId="14" borderId="6" xfId="0" applyNumberFormat="1" applyFont="1" applyFill="1" applyBorder="1"/>
    <xf numFmtId="3" fontId="30" fillId="0" borderId="0" xfId="0" applyNumberFormat="1" applyFont="1"/>
    <xf numFmtId="3" fontId="6" fillId="4" borderId="0" xfId="0" applyNumberFormat="1" applyFont="1" applyFill="1"/>
    <xf numFmtId="0" fontId="1" fillId="0" borderId="7" xfId="0" applyFont="1" applyBorder="1"/>
    <xf numFmtId="4" fontId="49" fillId="4" borderId="0" xfId="0" applyNumberFormat="1" applyFont="1" applyFill="1"/>
    <xf numFmtId="4" fontId="8" fillId="0" borderId="0" xfId="0" applyNumberFormat="1" applyFont="1" applyAlignment="1">
      <alignment horizontal="right"/>
    </xf>
    <xf numFmtId="4" fontId="8" fillId="0" borderId="7" xfId="0" applyNumberFormat="1" applyFont="1" applyBorder="1" applyAlignment="1">
      <alignment horizontal="right"/>
    </xf>
    <xf numFmtId="0" fontId="1" fillId="14" borderId="8" xfId="0" applyFont="1" applyFill="1" applyBorder="1"/>
    <xf numFmtId="0" fontId="1" fillId="0" borderId="10" xfId="0" applyFont="1" applyBorder="1"/>
    <xf numFmtId="0" fontId="1" fillId="13" borderId="4" xfId="0" applyFont="1" applyFill="1" applyBorder="1"/>
    <xf numFmtId="0" fontId="1" fillId="14" borderId="6" xfId="0" applyFont="1" applyFill="1" applyBorder="1"/>
    <xf numFmtId="4" fontId="1" fillId="0" borderId="7" xfId="0" applyNumberFormat="1" applyFont="1" applyBorder="1"/>
    <xf numFmtId="0" fontId="1" fillId="4" borderId="9" xfId="0" applyFont="1" applyFill="1" applyBorder="1"/>
    <xf numFmtId="9" fontId="1" fillId="4" borderId="0" xfId="0" applyNumberFormat="1" applyFont="1" applyFill="1"/>
    <xf numFmtId="0" fontId="60" fillId="0" borderId="0" xfId="0" applyFont="1"/>
    <xf numFmtId="0" fontId="61" fillId="0" borderId="0" xfId="0" applyFont="1"/>
    <xf numFmtId="0" fontId="8" fillId="0" borderId="4" xfId="0" applyFont="1" applyBorder="1"/>
    <xf numFmtId="0" fontId="8" fillId="0" borderId="5" xfId="0" applyFont="1" applyBorder="1"/>
    <xf numFmtId="0" fontId="8" fillId="0" borderId="11" xfId="0" applyFont="1" applyBorder="1"/>
    <xf numFmtId="3" fontId="8" fillId="0" borderId="0" xfId="0" applyNumberFormat="1" applyFont="1" applyAlignment="1">
      <alignment horizontal="right"/>
    </xf>
    <xf numFmtId="0" fontId="8" fillId="0" borderId="6" xfId="0" applyFont="1" applyBorder="1"/>
    <xf numFmtId="3" fontId="35" fillId="17" borderId="0" xfId="0" applyNumberFormat="1" applyFont="1" applyFill="1" applyAlignment="1">
      <alignment horizontal="right"/>
    </xf>
    <xf numFmtId="0" fontId="8" fillId="0" borderId="7" xfId="0" applyFont="1" applyBorder="1"/>
    <xf numFmtId="11" fontId="8" fillId="0" borderId="0" xfId="0" applyNumberFormat="1" applyFont="1" applyAlignment="1">
      <alignment horizontal="right"/>
    </xf>
    <xf numFmtId="3" fontId="35" fillId="0" borderId="0" xfId="0" applyNumberFormat="1" applyFont="1" applyAlignment="1">
      <alignment horizontal="right"/>
    </xf>
    <xf numFmtId="3" fontId="35" fillId="18" borderId="0" xfId="0" applyNumberFormat="1" applyFont="1" applyFill="1" applyAlignment="1">
      <alignment horizontal="right"/>
    </xf>
    <xf numFmtId="3" fontId="8" fillId="0" borderId="0" xfId="0" applyNumberFormat="1" applyFont="1"/>
    <xf numFmtId="3" fontId="6" fillId="0" borderId="13" xfId="0" applyNumberFormat="1" applyFont="1" applyBorder="1" applyAlignment="1">
      <alignment horizontal="right"/>
    </xf>
    <xf numFmtId="3" fontId="8" fillId="18" borderId="0" xfId="0" applyNumberFormat="1" applyFont="1" applyFill="1" applyAlignment="1">
      <alignment horizontal="right"/>
    </xf>
    <xf numFmtId="0" fontId="8" fillId="0" borderId="8" xfId="0" applyFont="1" applyBorder="1"/>
    <xf numFmtId="0" fontId="8" fillId="0" borderId="9" xfId="0" applyFont="1" applyBorder="1"/>
    <xf numFmtId="0" fontId="8" fillId="0" borderId="9" xfId="0" applyFont="1" applyBorder="1" applyAlignment="1">
      <alignment horizontal="right"/>
    </xf>
    <xf numFmtId="3" fontId="35" fillId="17" borderId="9" xfId="0" applyNumberFormat="1" applyFont="1" applyFill="1" applyBorder="1" applyAlignment="1">
      <alignment horizontal="right"/>
    </xf>
    <xf numFmtId="11" fontId="8" fillId="0" borderId="9" xfId="0" applyNumberFormat="1" applyFont="1" applyBorder="1" applyAlignment="1">
      <alignment horizontal="right"/>
    </xf>
    <xf numFmtId="0" fontId="35" fillId="0" borderId="10" xfId="0" applyFont="1" applyBorder="1"/>
    <xf numFmtId="11" fontId="8" fillId="18" borderId="0" xfId="0" applyNumberFormat="1" applyFont="1" applyFill="1" applyAlignment="1">
      <alignment horizontal="right"/>
    </xf>
    <xf numFmtId="11" fontId="8" fillId="17" borderId="0" xfId="0" applyNumberFormat="1" applyFont="1" applyFill="1" applyAlignment="1">
      <alignment horizontal="right"/>
    </xf>
    <xf numFmtId="11" fontId="1" fillId="0" borderId="0" xfId="0" applyNumberFormat="1" applyFont="1"/>
    <xf numFmtId="11" fontId="8" fillId="17" borderId="9" xfId="0" applyNumberFormat="1" applyFont="1" applyFill="1" applyBorder="1" applyAlignment="1">
      <alignment horizontal="right"/>
    </xf>
    <xf numFmtId="0" fontId="8" fillId="0" borderId="10" xfId="0" applyFont="1" applyBorder="1"/>
    <xf numFmtId="0" fontId="35" fillId="0" borderId="0" xfId="0" applyFont="1" applyAlignment="1">
      <alignment horizontal="right"/>
    </xf>
    <xf numFmtId="3" fontId="35" fillId="6" borderId="0" xfId="0" applyNumberFormat="1" applyFont="1" applyFill="1" applyAlignment="1">
      <alignment horizontal="right"/>
    </xf>
    <xf numFmtId="3" fontId="35" fillId="18" borderId="9" xfId="0" applyNumberFormat="1" applyFont="1" applyFill="1" applyBorder="1" applyAlignment="1">
      <alignment horizontal="right"/>
    </xf>
    <xf numFmtId="4" fontId="8" fillId="0" borderId="9" xfId="0" applyNumberFormat="1" applyFont="1" applyBorder="1"/>
    <xf numFmtId="11" fontId="8" fillId="0" borderId="0" xfId="0" applyNumberFormat="1" applyFont="1"/>
    <xf numFmtId="3" fontId="62" fillId="0" borderId="0" xfId="0" applyNumberFormat="1" applyFont="1" applyAlignment="1">
      <alignment horizontal="right"/>
    </xf>
    <xf numFmtId="0" fontId="64" fillId="0" borderId="0" xfId="0" applyFont="1"/>
    <xf numFmtId="0" fontId="64" fillId="0" borderId="0" xfId="0" applyFont="1" applyAlignment="1">
      <alignment horizontal="right"/>
    </xf>
    <xf numFmtId="10" fontId="64" fillId="0" borderId="0" xfId="0" applyNumberFormat="1" applyFont="1" applyAlignment="1">
      <alignment horizontal="right"/>
    </xf>
    <xf numFmtId="182" fontId="15" fillId="0" borderId="0" xfId="0" applyNumberFormat="1" applyFont="1" applyAlignment="1">
      <alignment horizontal="right"/>
    </xf>
    <xf numFmtId="10" fontId="15" fillId="0" borderId="0" xfId="0" applyNumberFormat="1" applyFont="1" applyAlignment="1">
      <alignment horizontal="right"/>
    </xf>
    <xf numFmtId="0" fontId="15" fillId="19" borderId="0" xfId="0" applyFont="1" applyFill="1"/>
    <xf numFmtId="182" fontId="15" fillId="19" borderId="0" xfId="0" applyNumberFormat="1" applyFont="1" applyFill="1" applyAlignment="1">
      <alignment horizontal="right"/>
    </xf>
    <xf numFmtId="10" fontId="15" fillId="19" borderId="0" xfId="0" applyNumberFormat="1" applyFont="1" applyFill="1" applyAlignment="1">
      <alignment horizontal="right"/>
    </xf>
    <xf numFmtId="0" fontId="15" fillId="14" borderId="0" xfId="0" applyFont="1" applyFill="1"/>
    <xf numFmtId="182" fontId="15" fillId="14" borderId="0" xfId="0" applyNumberFormat="1" applyFont="1" applyFill="1" applyAlignment="1">
      <alignment horizontal="right"/>
    </xf>
    <xf numFmtId="10" fontId="65" fillId="14" borderId="0" xfId="0" applyNumberFormat="1" applyFont="1" applyFill="1" applyAlignment="1">
      <alignment horizontal="right"/>
    </xf>
    <xf numFmtId="10" fontId="15" fillId="14" borderId="0" xfId="0" applyNumberFormat="1" applyFont="1" applyFill="1" applyAlignment="1">
      <alignment horizontal="right"/>
    </xf>
    <xf numFmtId="10" fontId="14" fillId="14" borderId="0" xfId="0" applyNumberFormat="1" applyFont="1" applyFill="1" applyAlignment="1">
      <alignment horizontal="right"/>
    </xf>
    <xf numFmtId="0" fontId="15" fillId="20" borderId="0" xfId="0" applyFont="1" applyFill="1"/>
    <xf numFmtId="182" fontId="15" fillId="20" borderId="0" xfId="0" applyNumberFormat="1" applyFont="1" applyFill="1" applyAlignment="1">
      <alignment horizontal="right"/>
    </xf>
    <xf numFmtId="10" fontId="15" fillId="20" borderId="0" xfId="0" applyNumberFormat="1" applyFont="1" applyFill="1" applyAlignment="1">
      <alignment horizontal="right"/>
    </xf>
    <xf numFmtId="10" fontId="65" fillId="20" borderId="0" xfId="0" applyNumberFormat="1" applyFont="1" applyFill="1" applyAlignment="1">
      <alignment horizontal="right"/>
    </xf>
    <xf numFmtId="182" fontId="66" fillId="20" borderId="0" xfId="0" applyNumberFormat="1" applyFont="1" applyFill="1" applyAlignment="1">
      <alignment horizontal="right"/>
    </xf>
    <xf numFmtId="0" fontId="15" fillId="16" borderId="0" xfId="0" applyFont="1" applyFill="1"/>
    <xf numFmtId="182" fontId="15" fillId="16" borderId="0" xfId="0" applyNumberFormat="1" applyFont="1" applyFill="1" applyAlignment="1">
      <alignment horizontal="right"/>
    </xf>
    <xf numFmtId="10" fontId="15" fillId="16" borderId="0" xfId="0" applyNumberFormat="1" applyFont="1" applyFill="1" applyAlignment="1">
      <alignment horizontal="right"/>
    </xf>
    <xf numFmtId="183" fontId="1" fillId="0" borderId="0" xfId="0" applyNumberFormat="1" applyFont="1"/>
    <xf numFmtId="0" fontId="67" fillId="4" borderId="0" xfId="0" applyFont="1" applyFill="1"/>
    <xf numFmtId="0" fontId="20" fillId="0" borderId="0" xfId="0" applyFont="1"/>
    <xf numFmtId="0" fontId="0" fillId="0" borderId="0" xfId="0"/>
    <xf numFmtId="0" fontId="1" fillId="0" borderId="0" xfId="0" applyFont="1" applyAlignment="1">
      <alignment wrapText="1"/>
    </xf>
    <xf numFmtId="0" fontId="8" fillId="0" borderId="0" xfId="0" applyFont="1"/>
    <xf numFmtId="0" fontId="9" fillId="4" borderId="0" xfId="0" applyFont="1" applyFill="1" applyAlignment="1">
      <alignment horizontal="center"/>
    </xf>
    <xf numFmtId="0" fontId="6" fillId="4" borderId="0" xfId="0" applyFont="1" applyFill="1" applyAlignment="1">
      <alignment horizontal="center"/>
    </xf>
    <xf numFmtId="0" fontId="30" fillId="4" borderId="0" xfId="0" applyFont="1" applyFill="1"/>
    <xf numFmtId="3" fontId="62" fillId="0" borderId="14" xfId="0" applyNumberFormat="1" applyFont="1" applyBorder="1" applyAlignment="1">
      <alignment horizontal="left"/>
    </xf>
    <xf numFmtId="0" fontId="63" fillId="0" borderId="15" xfId="0" applyFont="1" applyBorder="1"/>
  </cellXfs>
  <cellStyles count="1">
    <cellStyle name="표준" xfId="0" builtinId="0"/>
  </cellStyles>
  <dxfs count="39">
    <dxf>
      <fill>
        <patternFill patternType="solid">
          <fgColor rgb="FFF6F8F9"/>
          <bgColor rgb="FFF6F8F9"/>
        </patternFill>
      </fill>
    </dxf>
    <dxf>
      <fill>
        <patternFill patternType="solid">
          <fgColor rgb="FFFFFFFF"/>
          <bgColor rgb="FFFFFFFF"/>
        </patternFill>
      </fill>
    </dxf>
    <dxf>
      <fill>
        <patternFill patternType="solid">
          <fgColor rgb="FF535FC1"/>
          <bgColor rgb="FF535FC1"/>
        </patternFill>
      </fill>
    </dxf>
    <dxf>
      <border>
        <left style="thin">
          <color rgb="FF356854"/>
        </left>
        <right style="thin">
          <color rgb="FF356854"/>
        </right>
        <top style="thin">
          <color rgb="FF356854"/>
        </top>
        <bottom style="thin">
          <color rgb="FF356854"/>
        </bottom>
      </border>
    </dxf>
    <dxf>
      <fill>
        <patternFill patternType="solid">
          <fgColor rgb="FFF6F8F9"/>
          <bgColor rgb="FFF6F8F9"/>
        </patternFill>
      </fill>
    </dxf>
    <dxf>
      <fill>
        <patternFill patternType="solid">
          <fgColor rgb="FFFFFFFF"/>
          <bgColor rgb="FFFFFFFF"/>
        </patternFill>
      </fill>
    </dxf>
    <dxf>
      <fill>
        <patternFill patternType="solid">
          <fgColor rgb="FF535FC1"/>
          <bgColor rgb="FF535FC1"/>
        </patternFill>
      </fill>
    </dxf>
    <dxf>
      <border>
        <left style="thin">
          <color rgb="FF356854"/>
        </left>
        <right style="thin">
          <color rgb="FF356854"/>
        </right>
        <top style="thin">
          <color rgb="FF356854"/>
        </top>
        <bottom style="thin">
          <color rgb="FF356854"/>
        </bottom>
      </border>
    </dxf>
    <dxf>
      <fill>
        <patternFill patternType="solid">
          <fgColor rgb="FFF6F8F9"/>
          <bgColor rgb="FFF6F8F9"/>
        </patternFill>
      </fill>
    </dxf>
    <dxf>
      <fill>
        <patternFill patternType="solid">
          <fgColor rgb="FFFFFFFF"/>
          <bgColor rgb="FFFFFFFF"/>
        </patternFill>
      </fill>
    </dxf>
    <dxf>
      <fill>
        <patternFill patternType="solid">
          <fgColor rgb="FF535FC1"/>
          <bgColor rgb="FF535FC1"/>
        </patternFill>
      </fill>
    </dxf>
    <dxf>
      <border>
        <left style="thin">
          <color rgb="FF356854"/>
        </left>
        <right style="thin">
          <color rgb="FF356854"/>
        </right>
        <top style="thin">
          <color rgb="FF356854"/>
        </top>
        <bottom style="thin">
          <color rgb="FF356854"/>
        </bottom>
      </border>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border>
        <left style="thin">
          <color rgb="FF356854"/>
        </left>
        <right style="thin">
          <color rgb="FF356854"/>
        </right>
        <top style="thin">
          <color rgb="FF356854"/>
        </top>
        <bottom style="thin">
          <color rgb="FF356854"/>
        </bottom>
      </border>
    </dxf>
    <dxf>
      <fill>
        <patternFill patternType="solid">
          <fgColor rgb="FFF6F8F9"/>
          <bgColor rgb="FFF6F8F9"/>
        </patternFill>
      </fill>
    </dxf>
    <dxf>
      <fill>
        <patternFill patternType="solid">
          <fgColor rgb="FFFFFFFF"/>
          <bgColor rgb="FFFFFFFF"/>
        </patternFill>
      </fill>
    </dxf>
    <dxf>
      <fill>
        <patternFill patternType="solid">
          <fgColor rgb="FFCCD9D4"/>
          <bgColor rgb="FFCCD9D4"/>
        </patternFill>
      </fill>
    </dxf>
    <dxf>
      <fill>
        <patternFill patternType="solid">
          <fgColor rgb="FF356854"/>
          <bgColor rgb="FF356854"/>
        </patternFill>
      </fill>
    </dxf>
    <dxf>
      <border>
        <left style="thin">
          <color rgb="FF356854"/>
        </left>
        <right style="thin">
          <color rgb="FF356854"/>
        </right>
        <top style="thin">
          <color rgb="FF356854"/>
        </top>
        <bottom style="thin">
          <color rgb="FF356854"/>
        </bottom>
      </border>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border>
        <left style="thin">
          <color rgb="FF356854"/>
        </left>
        <right style="thin">
          <color rgb="FF356854"/>
        </right>
        <top style="thin">
          <color rgb="FF356854"/>
        </top>
        <bottom style="thin">
          <color rgb="FF356854"/>
        </bottom>
      </border>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border>
        <left style="thin">
          <color rgb="FF356854"/>
        </left>
        <right style="thin">
          <color rgb="FF356854"/>
        </right>
        <top style="thin">
          <color rgb="FF356854"/>
        </top>
        <bottom style="thin">
          <color rgb="FF356854"/>
        </bottom>
      </border>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border>
        <left style="thin">
          <color rgb="FF356854"/>
        </left>
        <right style="thin">
          <color rgb="FF356854"/>
        </right>
        <top style="thin">
          <color rgb="FF356854"/>
        </top>
        <bottom style="thin">
          <color rgb="FF356854"/>
        </bottom>
      </border>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s>
  <tableStyles count="10">
    <tableStyle name="재무상태표-style" pivot="0" count="3" xr9:uid="{00000000-0011-0000-FFFF-FFFF00000000}">
      <tableStyleElement type="headerRow" dxfId="38"/>
      <tableStyleElement type="firstRowStripe" dxfId="37"/>
      <tableStyleElement type="secondRowStripe" dxfId="36"/>
    </tableStyle>
    <tableStyle name="재무상태표-style 2" pivot="0" count="4" xr9:uid="{00000000-0011-0000-FFFF-FFFF01000000}">
      <tableStyleElement type="wholeTable" size="0" dxfId="35"/>
      <tableStyleElement type="headerRow" dxfId="34"/>
      <tableStyleElement type="firstRowStripe" dxfId="33"/>
      <tableStyleElement type="secondRowStripe" dxfId="32"/>
    </tableStyle>
    <tableStyle name="재무상태표-style 3" pivot="0" count="4" xr9:uid="{00000000-0011-0000-FFFF-FFFF02000000}">
      <tableStyleElement type="wholeTable" size="0" dxfId="31"/>
      <tableStyleElement type="headerRow" dxfId="30"/>
      <tableStyleElement type="firstRowStripe" dxfId="29"/>
      <tableStyleElement type="secondRowStripe" dxfId="28"/>
    </tableStyle>
    <tableStyle name="재무상태표-style 4" pivot="0" count="4" xr9:uid="{00000000-0011-0000-FFFF-FFFF03000000}">
      <tableStyleElement type="wholeTable" size="0" dxfId="27"/>
      <tableStyleElement type="headerRow" dxfId="26"/>
      <tableStyleElement type="firstRowStripe" dxfId="25"/>
      <tableStyleElement type="secondRowStripe" dxfId="24"/>
    </tableStyle>
    <tableStyle name="FCFE-style" pivot="0" count="3" xr9:uid="{00000000-0011-0000-FFFF-FFFF04000000}">
      <tableStyleElement type="headerRow" dxfId="23"/>
      <tableStyleElement type="firstRowStripe" dxfId="22"/>
      <tableStyleElement type="secondRowStripe" dxfId="21"/>
    </tableStyle>
    <tableStyle name="비용파트-style" pivot="0" count="5" xr9:uid="{00000000-0011-0000-FFFF-FFFF05000000}">
      <tableStyleElement type="wholeTable" size="0" dxfId="20"/>
      <tableStyleElement type="headerRow" dxfId="19"/>
      <tableStyleElement type="totalRow" dxfId="18"/>
      <tableStyleElement type="firstRowStripe" dxfId="17"/>
      <tableStyleElement type="secondRowStripe" dxfId="16"/>
    </tableStyle>
    <tableStyle name="매출액 추정-style" pivot="0" count="4" xr9:uid="{00000000-0011-0000-FFFF-FFFF06000000}">
      <tableStyleElement type="wholeTable" size="0" dxfId="15"/>
      <tableStyleElement type="headerRow" dxfId="14"/>
      <tableStyleElement type="firstRowStripe" dxfId="13"/>
      <tableStyleElement type="secondRowStripe" dxfId="12"/>
    </tableStyle>
    <tableStyle name="차트1 선종별 매출액 대비 주요 항목 비중 비교-style" pivot="0" count="4" xr9:uid="{00000000-0011-0000-FFFF-FFFF07000000}">
      <tableStyleElement type="wholeTable" size="0" dxfId="11"/>
      <tableStyleElement type="headerRow" dxfId="10"/>
      <tableStyleElement type="firstRowStripe" dxfId="9"/>
      <tableStyleElement type="secondRowStripe" dxfId="8"/>
    </tableStyle>
    <tableStyle name="차트1 2025년 세계 조선업계 선박 수주 점유율 (CG-style" pivot="0" count="4" xr9:uid="{00000000-0011-0000-FFFF-FFFF08000000}">
      <tableStyleElement type="wholeTable" size="0" dxfId="7"/>
      <tableStyleElement type="headerRow" dxfId="6"/>
      <tableStyleElement type="firstRowStripe" dxfId="5"/>
      <tableStyleElement type="secondRowStripe" dxfId="4"/>
    </tableStyle>
    <tableStyle name="차트1 2025년 세계 조선업계 선박 수주 점유율 (CG-style 2" pivot="0" count="4" xr9:uid="{00000000-0011-0000-FFFF-FFFF09000000}">
      <tableStyleElement type="wholeTable" size="0" dxfId="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ko-KR"/>
  <c:roundedCorners val="1"/>
  <c:style val="2"/>
  <c:chart>
    <c:title>
      <c:tx>
        <c:rich>
          <a:bodyPr/>
          <a:lstStyle/>
          <a:p>
            <a:pPr lvl="0">
              <a:defRPr b="0">
                <a:solidFill>
                  <a:srgbClr val="444746"/>
                </a:solidFill>
                <a:latin typeface="+mn-lt"/>
              </a:defRPr>
            </a:pPr>
            <a:r>
              <a:rPr b="0">
                <a:solidFill>
                  <a:srgbClr val="444746"/>
                </a:solidFill>
                <a:latin typeface="+mn-lt"/>
              </a:rPr>
              <a:t>선종별 매출액 대비 주요 항목 비중 비교</a:t>
            </a:r>
          </a:p>
        </c:rich>
      </c:tx>
      <c:overlay val="0"/>
    </c:title>
    <c:autoTitleDeleted val="0"/>
    <c:plotArea>
      <c:layout/>
      <c:barChart>
        <c:barDir val="bar"/>
        <c:grouping val="stacked"/>
        <c:varyColors val="1"/>
        <c:ser>
          <c:idx val="0"/>
          <c:order val="0"/>
          <c:tx>
            <c:strRef>
              <c:f>'차트1 선종별 매출액 대비 주요 항목 비중 비교'!$B$3</c:f>
              <c:strCache>
                <c:ptCount val="1"/>
                <c:pt idx="0">
                  <c:v>탱커</c:v>
                </c:pt>
              </c:strCache>
            </c:strRef>
          </c:tx>
          <c:spPr>
            <a:solidFill>
              <a:srgbClr val="4285F4"/>
            </a:solidFill>
            <a:ln cmpd="sng">
              <a:solidFill>
                <a:srgbClr val="000000"/>
              </a:solidFill>
            </a:ln>
          </c:spPr>
          <c:invertIfNegative val="1"/>
          <c:cat>
            <c:strRef>
              <c:f>'차트1 선종별 매출액 대비 주요 항목 비중 비교'!$A$4:$A$11</c:f>
              <c:strCache>
                <c:ptCount val="8"/>
                <c:pt idx="0">
                  <c:v>기기•장비</c:v>
                </c:pt>
                <c:pt idx="1">
                  <c:v>강재</c:v>
                </c:pt>
                <c:pt idx="2">
                  <c:v>엔진</c:v>
                </c:pt>
                <c:pt idx="3">
                  <c:v>기타</c:v>
                </c:pt>
                <c:pt idx="4">
                  <c:v>철의장</c:v>
                </c:pt>
                <c:pt idx="5">
                  <c:v>배관재</c:v>
                </c:pt>
                <c:pt idx="6">
                  <c:v>전장재</c:v>
                </c:pt>
                <c:pt idx="7">
                  <c:v>선실재</c:v>
                </c:pt>
              </c:strCache>
            </c:strRef>
          </c:cat>
          <c:val>
            <c:numRef>
              <c:f>'차트1 선종별 매출액 대비 주요 항목 비중 비교'!$B$4:$B$11</c:f>
              <c:numCache>
                <c:formatCode>General</c:formatCode>
                <c:ptCount val="8"/>
                <c:pt idx="0">
                  <c:v>0.16399999999999901</c:v>
                </c:pt>
                <c:pt idx="1">
                  <c:v>0.2</c:v>
                </c:pt>
                <c:pt idx="2">
                  <c:v>9.5000000000000001E-2</c:v>
                </c:pt>
                <c:pt idx="3">
                  <c:v>6.0999999999999999E-2</c:v>
                </c:pt>
                <c:pt idx="4">
                  <c:v>4.8000000000000001E-2</c:v>
                </c:pt>
                <c:pt idx="5">
                  <c:v>3.7999999999999999E-2</c:v>
                </c:pt>
                <c:pt idx="6">
                  <c:v>6.9999999999999897E-3</c:v>
                </c:pt>
                <c:pt idx="7">
                  <c:v>8.9999999999999993E-3</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8886-4548-B277-D137C18D2D16}"/>
            </c:ext>
          </c:extLst>
        </c:ser>
        <c:ser>
          <c:idx val="1"/>
          <c:order val="1"/>
          <c:tx>
            <c:strRef>
              <c:f>'차트1 선종별 매출액 대비 주요 항목 비중 비교'!$C$3</c:f>
              <c:strCache>
                <c:ptCount val="1"/>
                <c:pt idx="0">
                  <c:v>컨테이너선</c:v>
                </c:pt>
              </c:strCache>
            </c:strRef>
          </c:tx>
          <c:spPr>
            <a:solidFill>
              <a:srgbClr val="EA4335"/>
            </a:solidFill>
            <a:ln cmpd="sng">
              <a:solidFill>
                <a:srgbClr val="000000"/>
              </a:solidFill>
            </a:ln>
          </c:spPr>
          <c:invertIfNegative val="1"/>
          <c:cat>
            <c:strRef>
              <c:f>'차트1 선종별 매출액 대비 주요 항목 비중 비교'!$A$4:$A$11</c:f>
              <c:strCache>
                <c:ptCount val="8"/>
                <c:pt idx="0">
                  <c:v>기기•장비</c:v>
                </c:pt>
                <c:pt idx="1">
                  <c:v>강재</c:v>
                </c:pt>
                <c:pt idx="2">
                  <c:v>엔진</c:v>
                </c:pt>
                <c:pt idx="3">
                  <c:v>기타</c:v>
                </c:pt>
                <c:pt idx="4">
                  <c:v>철의장</c:v>
                </c:pt>
                <c:pt idx="5">
                  <c:v>배관재</c:v>
                </c:pt>
                <c:pt idx="6">
                  <c:v>전장재</c:v>
                </c:pt>
                <c:pt idx="7">
                  <c:v>선실재</c:v>
                </c:pt>
              </c:strCache>
            </c:strRef>
          </c:cat>
          <c:val>
            <c:numRef>
              <c:f>'차트1 선종별 매출액 대비 주요 항목 비중 비교'!$C$4:$C$11</c:f>
              <c:numCache>
                <c:formatCode>General</c:formatCode>
                <c:ptCount val="8"/>
                <c:pt idx="0">
                  <c:v>0.19500000000000001</c:v>
                </c:pt>
                <c:pt idx="1">
                  <c:v>0.15</c:v>
                </c:pt>
                <c:pt idx="2">
                  <c:v>0.12</c:v>
                </c:pt>
                <c:pt idx="3">
                  <c:v>8.5000000000000006E-2</c:v>
                </c:pt>
                <c:pt idx="4">
                  <c:v>3.5999999999999997E-2</c:v>
                </c:pt>
                <c:pt idx="5">
                  <c:v>1.9E-2</c:v>
                </c:pt>
                <c:pt idx="6">
                  <c:v>2.3E-2</c:v>
                </c:pt>
                <c:pt idx="7">
                  <c:v>0.01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8886-4548-B277-D137C18D2D16}"/>
            </c:ext>
          </c:extLst>
        </c:ser>
        <c:ser>
          <c:idx val="2"/>
          <c:order val="2"/>
          <c:tx>
            <c:strRef>
              <c:f>'차트1 선종별 매출액 대비 주요 항목 비중 비교'!$D$3</c:f>
              <c:strCache>
                <c:ptCount val="1"/>
                <c:pt idx="0">
                  <c:v>LNG운반선</c:v>
                </c:pt>
              </c:strCache>
            </c:strRef>
          </c:tx>
          <c:spPr>
            <a:solidFill>
              <a:srgbClr val="FBBC04"/>
            </a:solidFill>
            <a:ln cmpd="sng">
              <a:solidFill>
                <a:srgbClr val="000000"/>
              </a:solidFill>
            </a:ln>
          </c:spPr>
          <c:invertIfNegative val="1"/>
          <c:cat>
            <c:strRef>
              <c:f>'차트1 선종별 매출액 대비 주요 항목 비중 비교'!$A$4:$A$11</c:f>
              <c:strCache>
                <c:ptCount val="8"/>
                <c:pt idx="0">
                  <c:v>기기•장비</c:v>
                </c:pt>
                <c:pt idx="1">
                  <c:v>강재</c:v>
                </c:pt>
                <c:pt idx="2">
                  <c:v>엔진</c:v>
                </c:pt>
                <c:pt idx="3">
                  <c:v>기타</c:v>
                </c:pt>
                <c:pt idx="4">
                  <c:v>철의장</c:v>
                </c:pt>
                <c:pt idx="5">
                  <c:v>배관재</c:v>
                </c:pt>
                <c:pt idx="6">
                  <c:v>전장재</c:v>
                </c:pt>
                <c:pt idx="7">
                  <c:v>선실재</c:v>
                </c:pt>
              </c:strCache>
            </c:strRef>
          </c:cat>
          <c:val>
            <c:numRef>
              <c:f>'차트1 선종별 매출액 대비 주요 항목 비중 비교'!$D$4:$D$11</c:f>
              <c:numCache>
                <c:formatCode>General</c:formatCode>
                <c:ptCount val="8"/>
                <c:pt idx="0">
                  <c:v>0.24299999999999999</c:v>
                </c:pt>
                <c:pt idx="1">
                  <c:v>0.10299999999999999</c:v>
                </c:pt>
                <c:pt idx="2">
                  <c:v>6.2E-2</c:v>
                </c:pt>
                <c:pt idx="3">
                  <c:v>0.115</c:v>
                </c:pt>
                <c:pt idx="4">
                  <c:v>2.3E-2</c:v>
                </c:pt>
                <c:pt idx="5">
                  <c:v>5.3999999999999999E-2</c:v>
                </c:pt>
                <c:pt idx="6">
                  <c:v>1.39999999999999E-2</c:v>
                </c:pt>
                <c:pt idx="7">
                  <c:v>6.0000000000000001E-3</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8886-4548-B277-D137C18D2D16}"/>
            </c:ext>
          </c:extLst>
        </c:ser>
        <c:ser>
          <c:idx val="3"/>
          <c:order val="3"/>
          <c:tx>
            <c:strRef>
              <c:f>'차트1 선종별 매출액 대비 주요 항목 비중 비교'!$E$3</c:f>
              <c:strCache>
                <c:ptCount val="1"/>
                <c:pt idx="0">
                  <c:v>평균</c:v>
                </c:pt>
              </c:strCache>
            </c:strRef>
          </c:tx>
          <c:spPr>
            <a:solidFill>
              <a:srgbClr val="34A853"/>
            </a:solidFill>
            <a:ln cmpd="sng">
              <a:solidFill>
                <a:srgbClr val="000000"/>
              </a:solidFill>
            </a:ln>
          </c:spPr>
          <c:invertIfNegative val="1"/>
          <c:cat>
            <c:strRef>
              <c:f>'차트1 선종별 매출액 대비 주요 항목 비중 비교'!$A$4:$A$11</c:f>
              <c:strCache>
                <c:ptCount val="8"/>
                <c:pt idx="0">
                  <c:v>기기•장비</c:v>
                </c:pt>
                <c:pt idx="1">
                  <c:v>강재</c:v>
                </c:pt>
                <c:pt idx="2">
                  <c:v>엔진</c:v>
                </c:pt>
                <c:pt idx="3">
                  <c:v>기타</c:v>
                </c:pt>
                <c:pt idx="4">
                  <c:v>철의장</c:v>
                </c:pt>
                <c:pt idx="5">
                  <c:v>배관재</c:v>
                </c:pt>
                <c:pt idx="6">
                  <c:v>전장재</c:v>
                </c:pt>
                <c:pt idx="7">
                  <c:v>선실재</c:v>
                </c:pt>
              </c:strCache>
            </c:strRef>
          </c:cat>
          <c:val>
            <c:numRef>
              <c:f>'차트1 선종별 매출액 대비 주요 항목 비중 비교'!$E$4:$E$11</c:f>
              <c:numCache>
                <c:formatCode>General</c:formatCode>
                <c:ptCount val="8"/>
                <c:pt idx="0">
                  <c:v>0.185</c:v>
                </c:pt>
                <c:pt idx="1">
                  <c:v>0.17899999999999999</c:v>
                </c:pt>
                <c:pt idx="2">
                  <c:v>9.1999999999999998E-2</c:v>
                </c:pt>
                <c:pt idx="3">
                  <c:v>8.3000000000000004E-2</c:v>
                </c:pt>
                <c:pt idx="4">
                  <c:v>3.5999999999999997E-2</c:v>
                </c:pt>
                <c:pt idx="5">
                  <c:v>3.4000000000000002E-2</c:v>
                </c:pt>
                <c:pt idx="6">
                  <c:v>1.2999999999999999E-2</c:v>
                </c:pt>
                <c:pt idx="7">
                  <c:v>8.9999999999999993E-3</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3-8886-4548-B277-D137C18D2D16}"/>
            </c:ext>
          </c:extLst>
        </c:ser>
        <c:dLbls>
          <c:showLegendKey val="0"/>
          <c:showVal val="0"/>
          <c:showCatName val="0"/>
          <c:showSerName val="0"/>
          <c:showPercent val="0"/>
          <c:showBubbleSize val="0"/>
        </c:dLbls>
        <c:gapWidth val="150"/>
        <c:overlap val="100"/>
        <c:axId val="215763445"/>
        <c:axId val="918426493"/>
      </c:barChart>
      <c:catAx>
        <c:axId val="215763445"/>
        <c:scaling>
          <c:orientation val="maxMin"/>
        </c:scaling>
        <c:delete val="0"/>
        <c:axPos val="l"/>
        <c:title>
          <c:tx>
            <c:rich>
              <a:bodyPr/>
              <a:lstStyle/>
              <a:p>
                <a:pPr lvl="0">
                  <a:defRPr b="0">
                    <a:solidFill>
                      <a:srgbClr val="000000"/>
                    </a:solidFill>
                    <a:latin typeface="+mn-lt"/>
                  </a:defRPr>
                </a:pPr>
                <a:r>
                  <a:rPr b="0">
                    <a:solidFill>
                      <a:srgbClr val="000000"/>
                    </a:solidFill>
                    <a:latin typeface="+mn-lt"/>
                  </a:rPr>
                  <a:t>항목</a:t>
                </a:r>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ko-KR"/>
          </a:p>
        </c:txPr>
        <c:crossAx val="918426493"/>
        <c:crosses val="autoZero"/>
        <c:auto val="1"/>
        <c:lblAlgn val="ctr"/>
        <c:lblOffset val="100"/>
        <c:noMultiLvlLbl val="1"/>
      </c:catAx>
      <c:valAx>
        <c:axId val="918426493"/>
        <c:scaling>
          <c:orientation val="minMax"/>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비중 (매출액 대비)</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endParaRPr lang="ko-KR"/>
          </a:p>
        </c:txPr>
        <c:crossAx val="215763445"/>
        <c:crosses val="max"/>
        <c:crossBetween val="between"/>
      </c:valAx>
    </c:plotArea>
    <c:legend>
      <c:legendPos val="b"/>
      <c:overlay val="0"/>
      <c:txPr>
        <a:bodyPr/>
        <a:lstStyle/>
        <a:p>
          <a:pPr lvl="0">
            <a:defRPr b="0">
              <a:solidFill>
                <a:srgbClr val="1A1A1A"/>
              </a:solidFill>
              <a:latin typeface="+mn-lt"/>
            </a:defRPr>
          </a:pPr>
          <a:endParaRPr lang="ko-KR"/>
        </a:p>
      </c:txPr>
    </c:legend>
    <c:plotVisOnly val="1"/>
    <c:dispBlanksAs val="zero"/>
    <c:showDLblsOverMax val="1"/>
  </c:chart>
  <c:spPr>
    <a:solidFill>
      <a:srgbClr val="F0F4F9"/>
    </a:solidFill>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ko-KR"/>
  <c:roundedCorners val="1"/>
  <c:style val="2"/>
  <c:chart>
    <c:title>
      <c:tx>
        <c:rich>
          <a:bodyPr/>
          <a:lstStyle/>
          <a:p>
            <a:pPr lvl="0">
              <a:defRPr b="0">
                <a:solidFill>
                  <a:srgbClr val="444746"/>
                </a:solidFill>
                <a:latin typeface="+mn-lt"/>
              </a:defRPr>
            </a:pPr>
            <a:r>
              <a:rPr b="0">
                <a:solidFill>
                  <a:srgbClr val="444746"/>
                </a:solidFill>
                <a:latin typeface="+mn-lt"/>
              </a:rPr>
              <a:t>2025년 세계 조선업계 선박 수주 점유율 (CGT 기준)</a:t>
            </a:r>
          </a:p>
        </c:rich>
      </c:tx>
      <c:layout>
        <c:manualLayout>
          <c:xMode val="edge"/>
          <c:yMode val="edge"/>
          <c:x val="3.2000000000000001E-2"/>
          <c:y val="0.05"/>
        </c:manualLayout>
      </c:layout>
      <c:overlay val="0"/>
    </c:title>
    <c:autoTitleDeleted val="0"/>
    <c:plotArea>
      <c:layout/>
      <c:doughnutChart>
        <c:varyColors val="1"/>
        <c:ser>
          <c:idx val="0"/>
          <c:order val="0"/>
          <c:tx>
            <c:strRef>
              <c:f>'차트1 2025년 세계 조선업계 선박 수주 점유율 (CG'!$B$3</c:f>
              <c:strCache>
                <c:ptCount val="1"/>
                <c:pt idx="0">
                  <c:v>Share (%)</c:v>
                </c:pt>
              </c:strCache>
            </c:strRef>
          </c:tx>
          <c:dPt>
            <c:idx val="0"/>
            <c:bubble3D val="0"/>
            <c:spPr>
              <a:solidFill>
                <a:srgbClr val="4285F4"/>
              </a:solidFill>
            </c:spPr>
            <c:extLst>
              <c:ext xmlns:c16="http://schemas.microsoft.com/office/drawing/2014/chart" uri="{C3380CC4-5D6E-409C-BE32-E72D297353CC}">
                <c16:uniqueId val="{00000001-255F-409E-B923-F5A398E53BB5}"/>
              </c:ext>
            </c:extLst>
          </c:dPt>
          <c:dPt>
            <c:idx val="1"/>
            <c:bubble3D val="0"/>
            <c:spPr>
              <a:solidFill>
                <a:srgbClr val="EA4335"/>
              </a:solidFill>
            </c:spPr>
            <c:extLst>
              <c:ext xmlns:c16="http://schemas.microsoft.com/office/drawing/2014/chart" uri="{C3380CC4-5D6E-409C-BE32-E72D297353CC}">
                <c16:uniqueId val="{00000003-255F-409E-B923-F5A398E53BB5}"/>
              </c:ext>
            </c:extLst>
          </c:dPt>
          <c:dPt>
            <c:idx val="2"/>
            <c:bubble3D val="0"/>
            <c:spPr>
              <a:solidFill>
                <a:srgbClr val="FBBC04"/>
              </a:solidFill>
            </c:spPr>
            <c:extLst>
              <c:ext xmlns:c16="http://schemas.microsoft.com/office/drawing/2014/chart" uri="{C3380CC4-5D6E-409C-BE32-E72D297353CC}">
                <c16:uniqueId val="{00000005-255F-409E-B923-F5A398E53BB5}"/>
              </c:ext>
            </c:extLst>
          </c:dPt>
          <c:cat>
            <c:strRef>
              <c:f>'차트1 2025년 세계 조선업계 선박 수주 점유율 (CG'!$A$4:$A$6</c:f>
              <c:strCache>
                <c:ptCount val="3"/>
                <c:pt idx="0">
                  <c:v>기타</c:v>
                </c:pt>
                <c:pt idx="1">
                  <c:v>중국</c:v>
                </c:pt>
                <c:pt idx="2">
                  <c:v>한국</c:v>
                </c:pt>
              </c:strCache>
            </c:strRef>
          </c:cat>
          <c:val>
            <c:numRef>
              <c:f>'차트1 2025년 세계 조선업계 선박 수주 점유율 (CG'!$B$4:$B$6</c:f>
              <c:numCache>
                <c:formatCode>General</c:formatCode>
                <c:ptCount val="3"/>
                <c:pt idx="0">
                  <c:v>16</c:v>
                </c:pt>
                <c:pt idx="1">
                  <c:v>63</c:v>
                </c:pt>
                <c:pt idx="2">
                  <c:v>21</c:v>
                </c:pt>
              </c:numCache>
            </c:numRef>
          </c:val>
          <c:extLst>
            <c:ext xmlns:c16="http://schemas.microsoft.com/office/drawing/2014/chart" uri="{C3380CC4-5D6E-409C-BE32-E72D297353CC}">
              <c16:uniqueId val="{00000006-255F-409E-B923-F5A398E53BB5}"/>
            </c:ext>
          </c:extLst>
        </c:ser>
        <c:dLbls>
          <c:showLegendKey val="0"/>
          <c:showVal val="0"/>
          <c:showCatName val="0"/>
          <c:showSerName val="0"/>
          <c:showPercent val="0"/>
          <c:showBubbleSize val="0"/>
          <c:showLeaderLines val="1"/>
        </c:dLbls>
        <c:firstSliceAng val="0"/>
        <c:holeSize val="25"/>
      </c:doughnutChart>
    </c:plotArea>
    <c:legend>
      <c:legendPos val="r"/>
      <c:overlay val="0"/>
      <c:txPr>
        <a:bodyPr/>
        <a:lstStyle/>
        <a:p>
          <a:pPr lvl="0">
            <a:defRPr b="0">
              <a:solidFill>
                <a:srgbClr val="1A1A1A"/>
              </a:solidFill>
              <a:latin typeface="+mn-lt"/>
            </a:defRPr>
          </a:pPr>
          <a:endParaRPr lang="ko-KR"/>
        </a:p>
      </c:txPr>
    </c:legend>
    <c:plotVisOnly val="1"/>
    <c:dispBlanksAs val="zero"/>
    <c:showDLblsOverMax val="1"/>
  </c:chart>
  <c:spPr>
    <a:solidFill>
      <a:srgbClr val="F0F4F9"/>
    </a:solidFill>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ko-KR"/>
  <c:roundedCorners val="1"/>
  <c:style val="2"/>
  <c:chart>
    <c:title>
      <c:tx>
        <c:rich>
          <a:bodyPr/>
          <a:lstStyle/>
          <a:p>
            <a:pPr lvl="0">
              <a:defRPr b="0">
                <a:solidFill>
                  <a:srgbClr val="444746"/>
                </a:solidFill>
                <a:latin typeface="+mn-lt"/>
              </a:defRPr>
            </a:pPr>
            <a:r>
              <a:rPr b="0">
                <a:solidFill>
                  <a:srgbClr val="444746"/>
                </a:solidFill>
                <a:latin typeface="+mn-lt"/>
              </a:rPr>
              <a:t>2025년 세계 조선업계 선박 수주 점유율 (CGT 기준)</a:t>
            </a:r>
          </a:p>
        </c:rich>
      </c:tx>
      <c:layout>
        <c:manualLayout>
          <c:xMode val="edge"/>
          <c:yMode val="edge"/>
          <c:x val="3.2000000000000001E-2"/>
          <c:y val="0.05"/>
        </c:manualLayout>
      </c:layout>
      <c:overlay val="0"/>
    </c:title>
    <c:autoTitleDeleted val="0"/>
    <c:plotArea>
      <c:layout/>
      <c:doughnutChart>
        <c:varyColors val="1"/>
        <c:ser>
          <c:idx val="0"/>
          <c:order val="0"/>
          <c:tx>
            <c:strRef>
              <c:f>'차트1 2025년 세계 조선업계 선박 수주 점유율 (CG'!$B$3</c:f>
              <c:strCache>
                <c:ptCount val="1"/>
                <c:pt idx="0">
                  <c:v>Share (%)</c:v>
                </c:pt>
              </c:strCache>
            </c:strRef>
          </c:tx>
          <c:dPt>
            <c:idx val="0"/>
            <c:bubble3D val="0"/>
            <c:spPr>
              <a:solidFill>
                <a:srgbClr val="4285F4"/>
              </a:solidFill>
            </c:spPr>
            <c:extLst>
              <c:ext xmlns:c16="http://schemas.microsoft.com/office/drawing/2014/chart" uri="{C3380CC4-5D6E-409C-BE32-E72D297353CC}">
                <c16:uniqueId val="{00000001-87E6-475C-8A91-72194CA96D29}"/>
              </c:ext>
            </c:extLst>
          </c:dPt>
          <c:dPt>
            <c:idx val="1"/>
            <c:bubble3D val="0"/>
            <c:spPr>
              <a:solidFill>
                <a:srgbClr val="EA4335"/>
              </a:solidFill>
            </c:spPr>
            <c:extLst>
              <c:ext xmlns:c16="http://schemas.microsoft.com/office/drawing/2014/chart" uri="{C3380CC4-5D6E-409C-BE32-E72D297353CC}">
                <c16:uniqueId val="{00000003-87E6-475C-8A91-72194CA96D29}"/>
              </c:ext>
            </c:extLst>
          </c:dPt>
          <c:dPt>
            <c:idx val="2"/>
            <c:bubble3D val="0"/>
            <c:spPr>
              <a:solidFill>
                <a:srgbClr val="FBBC04"/>
              </a:solidFill>
            </c:spPr>
            <c:extLst>
              <c:ext xmlns:c16="http://schemas.microsoft.com/office/drawing/2014/chart" uri="{C3380CC4-5D6E-409C-BE32-E72D297353CC}">
                <c16:uniqueId val="{00000005-87E6-475C-8A91-72194CA96D29}"/>
              </c:ext>
            </c:extLst>
          </c:dPt>
          <c:cat>
            <c:strRef>
              <c:f>'차트1 2025년 세계 조선업계 선박 수주 점유율 (CG'!$A$4:$A$6</c:f>
              <c:strCache>
                <c:ptCount val="3"/>
                <c:pt idx="0">
                  <c:v>기타</c:v>
                </c:pt>
                <c:pt idx="1">
                  <c:v>중국</c:v>
                </c:pt>
                <c:pt idx="2">
                  <c:v>한국</c:v>
                </c:pt>
              </c:strCache>
            </c:strRef>
          </c:cat>
          <c:val>
            <c:numRef>
              <c:f>'차트1 2025년 세계 조선업계 선박 수주 점유율 (CG'!$B$4:$B$6</c:f>
              <c:numCache>
                <c:formatCode>General</c:formatCode>
                <c:ptCount val="3"/>
                <c:pt idx="0">
                  <c:v>16</c:v>
                </c:pt>
                <c:pt idx="1">
                  <c:v>63</c:v>
                </c:pt>
                <c:pt idx="2">
                  <c:v>21</c:v>
                </c:pt>
              </c:numCache>
            </c:numRef>
          </c:val>
          <c:extLst>
            <c:ext xmlns:c16="http://schemas.microsoft.com/office/drawing/2014/chart" uri="{C3380CC4-5D6E-409C-BE32-E72D297353CC}">
              <c16:uniqueId val="{00000006-87E6-475C-8A91-72194CA96D29}"/>
            </c:ext>
          </c:extLst>
        </c:ser>
        <c:dLbls>
          <c:showLegendKey val="0"/>
          <c:showVal val="0"/>
          <c:showCatName val="0"/>
          <c:showSerName val="0"/>
          <c:showPercent val="0"/>
          <c:showBubbleSize val="0"/>
          <c:showLeaderLines val="1"/>
        </c:dLbls>
        <c:firstSliceAng val="0"/>
        <c:holeSize val="25"/>
      </c:doughnutChart>
    </c:plotArea>
    <c:legend>
      <c:legendPos val="r"/>
      <c:overlay val="0"/>
      <c:txPr>
        <a:bodyPr/>
        <a:lstStyle/>
        <a:p>
          <a:pPr lvl="0">
            <a:defRPr b="0">
              <a:solidFill>
                <a:srgbClr val="1A1A1A"/>
              </a:solidFill>
              <a:latin typeface="+mn-lt"/>
            </a:defRPr>
          </a:pPr>
          <a:endParaRPr lang="ko-KR"/>
        </a:p>
      </c:txPr>
    </c:legend>
    <c:plotVisOnly val="1"/>
    <c:dispBlanksAs val="zero"/>
    <c:showDLblsOverMax val="1"/>
  </c:chart>
  <c:spPr>
    <a:solidFill>
      <a:srgbClr val="F0F4F9"/>
    </a:solidFill>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oneCellAnchor>
    <xdr:from>
      <xdr:col>10</xdr:col>
      <xdr:colOff>600075</xdr:colOff>
      <xdr:row>0</xdr:row>
      <xdr:rowOff>0</xdr:rowOff>
    </xdr:from>
    <xdr:ext cx="4876800" cy="2638425"/>
    <xdr:pic>
      <xdr:nvPicPr>
        <xdr:cNvPr id="2" name="image4.png" title="이미지">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2</xdr:row>
      <xdr:rowOff>104775</xdr:rowOff>
    </xdr:from>
    <xdr:ext cx="12344400" cy="6800850"/>
    <xdr:pic>
      <xdr:nvPicPr>
        <xdr:cNvPr id="2" name="image5.png" title="이미지">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923925</xdr:colOff>
      <xdr:row>59</xdr:row>
      <xdr:rowOff>85725</xdr:rowOff>
    </xdr:from>
    <xdr:ext cx="4876800" cy="2343150"/>
    <xdr:pic>
      <xdr:nvPicPr>
        <xdr:cNvPr id="2" name="image8.png" title="이미지">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0</xdr:colOff>
      <xdr:row>73</xdr:row>
      <xdr:rowOff>0</xdr:rowOff>
    </xdr:from>
    <xdr:ext cx="4876800" cy="4448175"/>
    <xdr:pic>
      <xdr:nvPicPr>
        <xdr:cNvPr id="3" name="image6.png" title="이미지">
          <a:extLst>
            <a:ext uri="{FF2B5EF4-FFF2-40B4-BE49-F238E27FC236}">
              <a16:creationId xmlns:a16="http://schemas.microsoft.com/office/drawing/2014/main" id="{00000000-0008-0000-07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962025</xdr:colOff>
      <xdr:row>30</xdr:row>
      <xdr:rowOff>200025</xdr:rowOff>
    </xdr:from>
    <xdr:ext cx="4210050" cy="3152775"/>
    <xdr:pic>
      <xdr:nvPicPr>
        <xdr:cNvPr id="4" name="image9.png" title="이미지">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11</xdr:col>
      <xdr:colOff>962025</xdr:colOff>
      <xdr:row>29</xdr:row>
      <xdr:rowOff>180975</xdr:rowOff>
    </xdr:from>
    <xdr:ext cx="4876800" cy="2552700"/>
    <xdr:pic>
      <xdr:nvPicPr>
        <xdr:cNvPr id="5" name="image2.png" title="이미지">
          <a:extLst>
            <a:ext uri="{FF2B5EF4-FFF2-40B4-BE49-F238E27FC236}">
              <a16:creationId xmlns:a16="http://schemas.microsoft.com/office/drawing/2014/main" id="{00000000-0008-0000-07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12</xdr:col>
      <xdr:colOff>0</xdr:colOff>
      <xdr:row>44</xdr:row>
      <xdr:rowOff>0</xdr:rowOff>
    </xdr:from>
    <xdr:ext cx="4867275" cy="3609975"/>
    <xdr:pic>
      <xdr:nvPicPr>
        <xdr:cNvPr id="6" name="image10.png" title="이미지">
          <a:extLst>
            <a:ext uri="{FF2B5EF4-FFF2-40B4-BE49-F238E27FC236}">
              <a16:creationId xmlns:a16="http://schemas.microsoft.com/office/drawing/2014/main" id="{00000000-0008-0000-07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4</xdr:col>
      <xdr:colOff>266700</xdr:colOff>
      <xdr:row>13</xdr:row>
      <xdr:rowOff>95250</xdr:rowOff>
    </xdr:from>
    <xdr:ext cx="1847850" cy="1190625"/>
    <xdr:pic>
      <xdr:nvPicPr>
        <xdr:cNvPr id="7" name="image7.png" title="이미지">
          <a:extLst>
            <a:ext uri="{FF2B5EF4-FFF2-40B4-BE49-F238E27FC236}">
              <a16:creationId xmlns:a16="http://schemas.microsoft.com/office/drawing/2014/main" id="{00000000-0008-0000-07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5</xdr:col>
      <xdr:colOff>904875</xdr:colOff>
      <xdr:row>13</xdr:row>
      <xdr:rowOff>95250</xdr:rowOff>
    </xdr:from>
    <xdr:ext cx="3495675" cy="1295400"/>
    <xdr:pic>
      <xdr:nvPicPr>
        <xdr:cNvPr id="8" name="image1.png" title="이미지">
          <a:extLst>
            <a:ext uri="{FF2B5EF4-FFF2-40B4-BE49-F238E27FC236}">
              <a16:creationId xmlns:a16="http://schemas.microsoft.com/office/drawing/2014/main" id="{00000000-0008-0000-0700-000008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0</xdr:col>
      <xdr:colOff>962025</xdr:colOff>
      <xdr:row>133</xdr:row>
      <xdr:rowOff>9525</xdr:rowOff>
    </xdr:from>
    <xdr:ext cx="4876800" cy="1962150"/>
    <xdr:pic>
      <xdr:nvPicPr>
        <xdr:cNvPr id="9" name="image3.png" title="이미지">
          <a:extLst>
            <a:ext uri="{FF2B5EF4-FFF2-40B4-BE49-F238E27FC236}">
              <a16:creationId xmlns:a16="http://schemas.microsoft.com/office/drawing/2014/main" id="{00000000-0008-0000-0700-000009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4762500" cy="2857500"/>
    <xdr:graphicFrame macro="">
      <xdr:nvGraphicFramePr>
        <xdr:cNvPr id="2" name="Chart 1">
          <a:extLst>
            <a:ext uri="{FF2B5EF4-FFF2-40B4-BE49-F238E27FC236}">
              <a16:creationId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4762500" cy="2857500"/>
    <xdr:graphicFrame macro="">
      <xdr:nvGraphicFramePr>
        <xdr:cNvPr id="2" name="Chart 2" title="차트">
          <a:extLst>
            <a:ext uri="{FF2B5EF4-FFF2-40B4-BE49-F238E27FC236}">
              <a16:creationId xmlns:a16="http://schemas.microsoft.com/office/drawing/2014/main" id="{00000000-0008-0000-0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11</xdr:col>
      <xdr:colOff>0</xdr:colOff>
      <xdr:row>13</xdr:row>
      <xdr:rowOff>0</xdr:rowOff>
    </xdr:from>
    <xdr:ext cx="4762500" cy="2857500"/>
    <xdr:graphicFrame macro="">
      <xdr:nvGraphicFramePr>
        <xdr:cNvPr id="3" name="Chart 3" title="차트">
          <a:extLst>
            <a:ext uri="{FF2B5EF4-FFF2-40B4-BE49-F238E27FC236}">
              <a16:creationId xmlns:a16="http://schemas.microsoft.com/office/drawing/2014/main" id="{00000000-0008-0000-0E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2:G2" headerRowCount="0">
  <tableColumns count="6">
    <tableColumn id="1" xr3:uid="{00000000-0010-0000-0000-000001000000}" name="Column1"/>
    <tableColumn id="2" xr3:uid="{00000000-0010-0000-0000-000002000000}" name="Column2"/>
    <tableColumn id="3" xr3:uid="{00000000-0010-0000-0000-000003000000}" name="Column3"/>
    <tableColumn id="4" xr3:uid="{00000000-0010-0000-0000-000004000000}" name="Column4"/>
    <tableColumn id="5" xr3:uid="{00000000-0010-0000-0000-000005000000}" name="Column5"/>
    <tableColumn id="6" xr3:uid="{00000000-0010-0000-0000-000006000000}" name="Column6"/>
  </tableColumns>
  <tableStyleInfo name="재무상태표-style" showFirstColumn="1" showLastColumn="1" showRowStripes="1" showColumnStripes="0"/>
  <extLst>
    <ext uri="GoogleSheetsCustomDataVersion1">
      <go:sheetsCustomData xmlns:go="http://customooxmlschemas.google.com/" headerRowCount="1"/>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표6" displayName="표6" ref="A3:B6">
  <tableColumns count="2">
    <tableColumn id="1" xr3:uid="{00000000-0010-0000-0900-000001000000}" name="Country"/>
    <tableColumn id="2" xr3:uid="{00000000-0010-0000-0900-000002000000}" name="Share (%)"/>
  </tableColumns>
  <tableStyleInfo name="차트1 2025년 세계 조선업계 선박 수주 점유율 (CG-style 2"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표4" displayName="표4" ref="I27:L30">
  <tableColumns count="4">
    <tableColumn id="1" xr3:uid="{00000000-0010-0000-0100-000001000000}" name="-"/>
    <tableColumn id="2" xr3:uid="{00000000-0010-0000-0100-000002000000}" name="2022"/>
    <tableColumn id="3" xr3:uid="{00000000-0010-0000-0100-000003000000}" name="2023"/>
    <tableColumn id="4" xr3:uid="{00000000-0010-0000-0100-000004000000}" name="2024"/>
  </tableColumns>
  <tableStyleInfo name="재무상태표-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표2" displayName="표2" ref="J51:N54">
  <tableColumns count="5">
    <tableColumn id="1" xr3:uid="{00000000-0010-0000-0200-000001000000}" name="매입채무회전율"/>
    <tableColumn id="2" xr3:uid="{00000000-0010-0000-0200-000002000000}" name="2021"/>
    <tableColumn id="3" xr3:uid="{00000000-0010-0000-0200-000003000000}" name="2022"/>
    <tableColumn id="4" xr3:uid="{00000000-0010-0000-0200-000004000000}" name="2,023"/>
    <tableColumn id="5" xr3:uid="{00000000-0010-0000-0200-000005000000}" name="2,024"/>
  </tableColumns>
  <tableStyleInfo name="재무상태표-style 3"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표5" displayName="표5" ref="J56:M58">
  <tableColumns count="4">
    <tableColumn id="1" xr3:uid="{00000000-0010-0000-0300-000001000000}" name="사채"/>
    <tableColumn id="2" xr3:uid="{00000000-0010-0000-0300-000002000000}" name="25년"/>
    <tableColumn id="3" xr3:uid="{00000000-0010-0000-0300-000003000000}" name="26년"/>
    <tableColumn id="4" xr3:uid="{00000000-0010-0000-0300-000004000000}" name="27년"/>
  </tableColumns>
  <tableStyleInfo name="재무상태표-style 4" showFirstColumn="1" showLastColumn="1"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_2" displayName="Table_2" ref="B23:F30" headerRowCount="0">
  <tableColumns count="5">
    <tableColumn id="1" xr3:uid="{00000000-0010-0000-0400-000001000000}" name="Column1"/>
    <tableColumn id="2" xr3:uid="{00000000-0010-0000-0400-000002000000}" name="Column2"/>
    <tableColumn id="3" xr3:uid="{00000000-0010-0000-0400-000003000000}" name="Column3"/>
    <tableColumn id="4" xr3:uid="{00000000-0010-0000-0400-000004000000}" name="Column4"/>
    <tableColumn id="5" xr3:uid="{00000000-0010-0000-0400-000005000000}" name="Column5"/>
  </tableColumns>
  <tableStyleInfo name="FCFE-style" showFirstColumn="1" showLastColumn="1" showRowStripes="1" showColumnStripes="0"/>
  <extLst>
    <ext uri="GoogleSheetsCustomDataVersion1">
      <go:sheetsCustomData xmlns:go="http://customooxmlschemas.google.com/" headerRowCount="1"/>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표1" displayName="표1" ref="C107:J116" totalsRowCount="1">
  <tableColumns count="8">
    <tableColumn id="1" xr3:uid="{00000000-0010-0000-0500-000001000000}" name="항목" totalsRowLabel="계"/>
    <tableColumn id="2" xr3:uid="{00000000-0010-0000-0500-000002000000}" name="분류"/>
    <tableColumn id="3" xr3:uid="{00000000-0010-0000-0500-000003000000}" name="성장률"/>
    <tableColumn id="4" xr3:uid="{00000000-0010-0000-0500-000004000000}" name="근거"/>
    <tableColumn id="5" xr3:uid="{00000000-0010-0000-0500-000005000000}" name="2024" totalsRowLabel="446,050"/>
    <tableColumn id="6" xr3:uid="{00000000-0010-0000-0500-000006000000}" name="2025(추정)" totalsRowFunction="custom">
      <totalsRowFormula>SUM(표1[2025(추정)])</totalsRowFormula>
    </tableColumn>
    <tableColumn id="7" xr3:uid="{00000000-0010-0000-0500-000007000000}" name="2026(추정)" totalsRowFunction="custom">
      <totalsRowFormula>SUM(표1[2026(추정)])</totalsRowFormula>
    </tableColumn>
    <tableColumn id="8" xr3:uid="{00000000-0010-0000-0500-000008000000}" name="2027(추정)" totalsRowFunction="custom">
      <totalsRowFormula>SUM(표1[2027(추정)])</totalsRowFormula>
    </tableColumn>
  </tableColumns>
  <tableStyleInfo name="비용파트-style" showFirstColumn="1" showLastColumn="1"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표3" displayName="표3" ref="K4:N8">
  <tableColumns count="4">
    <tableColumn id="1" xr3:uid="{00000000-0010-0000-0600-000001000000}" name="매출액비중"/>
    <tableColumn id="2" xr3:uid="{00000000-0010-0000-0600-000002000000}" name="2025(예상)"/>
    <tableColumn id="3" xr3:uid="{00000000-0010-0000-0600-000003000000}" name="2026(예상)"/>
    <tableColumn id="4" xr3:uid="{00000000-0010-0000-0600-000004000000}" name="2027(예상)"/>
  </tableColumns>
  <tableStyleInfo name="매출액 추정-style" showFirstColumn="1" showLastColumn="1"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선종별_매출액_대비_주요_항목_비중_비교" displayName="선종별_매출액_대비_주요_항목_비중_비교" ref="A3:E11">
  <tableColumns count="5">
    <tableColumn id="1" xr3:uid="{00000000-0010-0000-0700-000001000000}" name="항목"/>
    <tableColumn id="2" xr3:uid="{00000000-0010-0000-0700-000002000000}" name="탱커"/>
    <tableColumn id="3" xr3:uid="{00000000-0010-0000-0700-000003000000}" name="컨테이너선"/>
    <tableColumn id="4" xr3:uid="{00000000-0010-0000-0700-000004000000}" name="LNG운반선"/>
    <tableColumn id="5" xr3:uid="{00000000-0010-0000-0700-000005000000}" name="평균"/>
  </tableColumns>
  <tableStyleInfo name="차트1 선종별 매출액 대비 주요 항목 비중 비교-style" showFirstColumn="1" showLastColumn="1"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표7" displayName="표7" ref="D2:E5">
  <tableColumns count="2">
    <tableColumn id="1" xr3:uid="{00000000-0010-0000-0800-000001000000}" name="국가"/>
    <tableColumn id="2" xr3:uid="{00000000-0010-0000-0800-000002000000}" name="수주 점유율 (%)"/>
  </tableColumns>
  <tableStyleInfo name="차트1 2025년 세계 조선업계 선박 수주 점유율 (CG-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7"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http://www.smbs.biz/ExRate/FutureExRate.jsp" TargetMode="External"/><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13.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drawing" Target="../drawings/drawing4.xml"/></Relationships>
</file>

<file path=xl/worksheets/_rels/sheet15.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vmlDrawing" Target="../drawings/vmlDrawing3.vml"/><Relationship Id="rId1" Type="http://schemas.openxmlformats.org/officeDocument/2006/relationships/drawing" Target="../drawings/drawing1.xml"/><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3" Type="http://schemas.openxmlformats.org/officeDocument/2006/relationships/hyperlink" Target="https://www.news2day.co.kr/article/20260105500135" TargetMode="External"/><Relationship Id="rId18" Type="http://schemas.openxmlformats.org/officeDocument/2006/relationships/hyperlink" Target="https://www.kita.net/board/totalTradeNews/totalTradeNewsDetail.do?no=97225&amp;siteId=2" TargetMode="External"/><Relationship Id="rId26" Type="http://schemas.openxmlformats.org/officeDocument/2006/relationships/hyperlink" Target="https://comp.fnguide.com/SVO2/asp/SVD_Invest.asp?pGB=1&amp;gicode=A010140&amp;cID=&amp;MenuYn=Y&amp;ReportGB=&amp;NewMenuID=105&amp;stkGb=701" TargetMode="External"/><Relationship Id="rId39" Type="http://schemas.openxmlformats.org/officeDocument/2006/relationships/hyperlink" Target="https://www.newstomato.com/ReadNews.aspx?no=1280289" TargetMode="External"/><Relationship Id="rId21" Type="http://schemas.openxmlformats.org/officeDocument/2006/relationships/hyperlink" Target="https://www.fki.or.kr/fileOut/esgletter/202407/esgbulletin_202407.pdf" TargetMode="External"/><Relationship Id="rId34" Type="http://schemas.openxmlformats.org/officeDocument/2006/relationships/hyperlink" Target="https://www.asiae.co.kr/article/2025090908123068152" TargetMode="External"/><Relationship Id="rId42" Type="http://schemas.openxmlformats.org/officeDocument/2006/relationships/hyperlink" Target="https://www.news1.kr/industry/general-industry/5662382" TargetMode="External"/><Relationship Id="rId7" Type="http://schemas.openxmlformats.org/officeDocument/2006/relationships/hyperlink" Target="https://dart.fss.or.kr/dsaf001/main.do?rcpNo=20251113000238" TargetMode="External"/><Relationship Id="rId2" Type="http://schemas.openxmlformats.org/officeDocument/2006/relationships/hyperlink" Target="https://brunch.co.kr/@jbleev/29" TargetMode="External"/><Relationship Id="rId16" Type="http://schemas.openxmlformats.org/officeDocument/2006/relationships/hyperlink" Target="https://www.thebell.co.kr/free/content/ArticleView.asp?key=202512241519307440103994" TargetMode="External"/><Relationship Id="rId20" Type="http://schemas.openxmlformats.org/officeDocument/2006/relationships/hyperlink" Target="https://assets.kpmg.com/content/dam/kpmgsites/kr/pdf/2025/eri/business_focus/kpmg-kr-bf-MRO-%EC%82%B0%EC%97%85%EC%9D%98-%ED%98%84%EC%9E%AC%EC%99%80-%EB%AF%B8%EB%9E%98_20250217.pdf.coredownload.inline.pdf" TargetMode="External"/><Relationship Id="rId29" Type="http://schemas.openxmlformats.org/officeDocument/2006/relationships/hyperlink" Target="https://www.businesspost.co.kr/BP?command=article_view&amp;num=403890" TargetMode="External"/><Relationship Id="rId41" Type="http://schemas.openxmlformats.org/officeDocument/2006/relationships/hyperlink" Target="https://www.hankyung.com/article/202509232490i" TargetMode="External"/><Relationship Id="rId1" Type="http://schemas.openxmlformats.org/officeDocument/2006/relationships/hyperlink" Target="https://www.moel.go.kr/news/enews/report/enewsView.do?news_seq=18774" TargetMode="External"/><Relationship Id="rId6" Type="http://schemas.openxmlformats.org/officeDocument/2006/relationships/hyperlink" Target="https://dart.fss.or.kr/dsaf001/main.do?rcpNo=20251113000238" TargetMode="External"/><Relationship Id="rId11" Type="http://schemas.openxmlformats.org/officeDocument/2006/relationships/hyperlink" Target="https://www.kita.net/board/totalTradeNews/totalTradeNewsDetail.do?no=97225&amp;siteId=2" TargetMode="External"/><Relationship Id="rId24" Type="http://schemas.openxmlformats.org/officeDocument/2006/relationships/hyperlink" Target="https://www.hani.co.kr/arti/economy/economy_general/1238469.html" TargetMode="External"/><Relationship Id="rId32" Type="http://schemas.openxmlformats.org/officeDocument/2006/relationships/hyperlink" Target="https://v.daum.net/v/20251013141649383" TargetMode="External"/><Relationship Id="rId37" Type="http://schemas.openxmlformats.org/officeDocument/2006/relationships/hyperlink" Target="https://www.khan.co.kr/article/202502061612001" TargetMode="External"/><Relationship Id="rId40" Type="http://schemas.openxmlformats.org/officeDocument/2006/relationships/hyperlink" Target="https://securities.miraeasset.com/bbs/download/2140194.pdf?attachmentId=2140194" TargetMode="External"/><Relationship Id="rId5" Type="http://schemas.openxmlformats.org/officeDocument/2006/relationships/hyperlink" Target="https://dart.fss.or.kr/dsaf001/main.do?rcpNo=20251113000238" TargetMode="External"/><Relationship Id="rId15" Type="http://schemas.openxmlformats.org/officeDocument/2006/relationships/hyperlink" Target="https://www.kobc.or.kr/ebz/shippinginfo/sln/gridList.do?mId=0401000000" TargetMode="External"/><Relationship Id="rId23" Type="http://schemas.openxmlformats.org/officeDocument/2006/relationships/hyperlink" Target="https://unctadstat.unctad.org/datacentre/dataviewer/US.ShipBuilding" TargetMode="External"/><Relationship Id="rId28" Type="http://schemas.openxmlformats.org/officeDocument/2006/relationships/hyperlink" Target="https://www.yna.co.kr/view/AKR20250826048600003" TargetMode="External"/><Relationship Id="rId36" Type="http://schemas.openxmlformats.org/officeDocument/2006/relationships/hyperlink" Target="https://file.alphasquare.co.kr/media/pdfs/company-ir/20250729%ED%95%9C%ED%99%94%EC%98%A4%EC%85%98_2025%EB%85%84_2%EB%B6%84%EA%B8%B0_%EA%B2%BD%EC%98%81%EC%8B%A4%EC%A0%81_%EB%B0%9C%ED%91%9C.pdf" TargetMode="External"/><Relationship Id="rId10" Type="http://schemas.openxmlformats.org/officeDocument/2006/relationships/hyperlink" Target="https://terms.naver.com/entry.naver?docId=382903&amp;cid=42329&amp;categoryId=42329" TargetMode="External"/><Relationship Id="rId19" Type="http://schemas.openxmlformats.org/officeDocument/2006/relationships/hyperlink" Target="https://dart.fss.or.kr/dsaf001/main.do?rcpNo=20251112000440" TargetMode="External"/><Relationship Id="rId31" Type="http://schemas.openxmlformats.org/officeDocument/2006/relationships/hyperlink" Target="https://www.ibtomato.com/mobile/mView.aspx?no=15940" TargetMode="External"/><Relationship Id="rId4" Type="http://schemas.openxmlformats.org/officeDocument/2006/relationships/hyperlink" Target="https://dart.fss.or.kr/dsaf001/main.do?rcpNo=20251112000440" TargetMode="External"/><Relationship Id="rId9" Type="http://schemas.openxmlformats.org/officeDocument/2006/relationships/hyperlink" Target="https://www.kita.net/board/totalTradeNews/totalTradeNewsDetail.do?no=97225&amp;siteId=2" TargetMode="External"/><Relationship Id="rId14" Type="http://schemas.openxmlformats.org/officeDocument/2006/relationships/hyperlink" Target="http://www.haesanews.com/news/articleView.html?idxno=143182" TargetMode="External"/><Relationship Id="rId22" Type="http://schemas.openxmlformats.org/officeDocument/2006/relationships/hyperlink" Target="http://hanwha.co.kr/newsroom/media_center/news/article.do?seq=13452" TargetMode="External"/><Relationship Id="rId27" Type="http://schemas.openxmlformats.org/officeDocument/2006/relationships/hyperlink" Target="https://dart.fss.or.kr/dsaf001/main.do?rcpNo=20251112000440" TargetMode="External"/><Relationship Id="rId30" Type="http://schemas.openxmlformats.org/officeDocument/2006/relationships/hyperlink" Target="https://www.yna.co.kr/view/AKR20251010128800003" TargetMode="External"/><Relationship Id="rId35" Type="http://schemas.openxmlformats.org/officeDocument/2006/relationships/hyperlink" Target="https://www.shippingvoice.kr/news/articleView.html?idxno=8274" TargetMode="External"/><Relationship Id="rId43" Type="http://schemas.openxmlformats.org/officeDocument/2006/relationships/hyperlink" Target="https://www.mk.co.kr/news/business/11433147" TargetMode="External"/><Relationship Id="rId8" Type="http://schemas.openxmlformats.org/officeDocument/2006/relationships/hyperlink" Target="https://www.ytn.co.kr/_ln/0103_202210150546574807" TargetMode="External"/><Relationship Id="rId3" Type="http://schemas.openxmlformats.org/officeDocument/2006/relationships/hyperlink" Target="https://m.ekn.kr/view.php?key=20251020024237609" TargetMode="External"/><Relationship Id="rId12" Type="http://schemas.openxmlformats.org/officeDocument/2006/relationships/hyperlink" Target="https://www.yna.co.kr/view/AKR20251227040700003" TargetMode="External"/><Relationship Id="rId17" Type="http://schemas.openxmlformats.org/officeDocument/2006/relationships/hyperlink" Target="https://www.index.go.kr/unity/potal/main/EachDtlPageDetail.do?idx_cd=1143" TargetMode="External"/><Relationship Id="rId25" Type="http://schemas.openxmlformats.org/officeDocument/2006/relationships/hyperlink" Target="https://news.kbs.co.kr/news/pc/view/view.do?ncd=8161331" TargetMode="External"/><Relationship Id="rId33" Type="http://schemas.openxmlformats.org/officeDocument/2006/relationships/hyperlink" Target="https://www.kfcf.or.kr/news/news/read.do?no=2570" TargetMode="External"/><Relationship Id="rId38" Type="http://schemas.openxmlformats.org/officeDocument/2006/relationships/hyperlink" Target="https://www.energydaily.co.kr/news/articleView.html?idxno=162457"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vmlDrawing" Target="../drawings/vmlDrawing4.vml"/><Relationship Id="rId1" Type="http://schemas.openxmlformats.org/officeDocument/2006/relationships/drawing" Target="../drawings/drawing3.xml"/><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8" Type="http://schemas.openxmlformats.org/officeDocument/2006/relationships/hyperlink" Target="https://www.mtnews.net/news/articleView.html?idxno=12696" TargetMode="External"/><Relationship Id="rId3" Type="http://schemas.openxmlformats.org/officeDocument/2006/relationships/hyperlink" Target="https://www.yna.co.kr/view/AKR20231110050600003" TargetMode="External"/><Relationship Id="rId7" Type="http://schemas.openxmlformats.org/officeDocument/2006/relationships/hyperlink" Target="https://www.ferrotimes.com/news/articleView.html?idxno=12392" TargetMode="External"/><Relationship Id="rId12" Type="http://schemas.openxmlformats.org/officeDocument/2006/relationships/comments" Target="../comments5.xml"/><Relationship Id="rId2" Type="http://schemas.openxmlformats.org/officeDocument/2006/relationships/hyperlink" Target="https://magazine.hankyung.com/business/article/202312247920b" TargetMode="External"/><Relationship Id="rId1" Type="http://schemas.openxmlformats.org/officeDocument/2006/relationships/hyperlink" Target="https://www.thecommoditiesnews.com/news/articleView.html?idxno=3496" TargetMode="External"/><Relationship Id="rId6" Type="http://schemas.openxmlformats.org/officeDocument/2006/relationships/hyperlink" Target="https://www.hankyung.com/article/2025012492381" TargetMode="External"/><Relationship Id="rId11" Type="http://schemas.openxmlformats.org/officeDocument/2006/relationships/table" Target="../tables/table7.xml"/><Relationship Id="rId5" Type="http://schemas.openxmlformats.org/officeDocument/2006/relationships/hyperlink" Target="https://www.g-enews.com/article/Industry/2024/08/2024082319540820237bdb7041ec_1" TargetMode="External"/><Relationship Id="rId10" Type="http://schemas.openxmlformats.org/officeDocument/2006/relationships/vmlDrawing" Target="../drawings/vmlDrawing5.vml"/><Relationship Id="rId4" Type="http://schemas.openxmlformats.org/officeDocument/2006/relationships/hyperlink" Target="https://www.hanwha.co.kr/newsroom/media_center/news/news_view.do?seq=13617" TargetMode="External"/><Relationship Id="rId9" Type="http://schemas.openxmlformats.org/officeDocument/2006/relationships/hyperlink" Target="https://www.hanwha.co.kr/newsroom/media_center/news/news_view.do?seq=153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996"/>
  <sheetViews>
    <sheetView tabSelected="1" topLeftCell="A57" workbookViewId="0">
      <selection activeCell="I73" sqref="I73"/>
    </sheetView>
  </sheetViews>
  <sheetFormatPr defaultColWidth="12.6640625" defaultRowHeight="15.75" customHeight="1"/>
  <cols>
    <col min="1" max="1" width="8.21875" customWidth="1"/>
    <col min="2" max="2" width="14.33203125" customWidth="1"/>
    <col min="3" max="3" width="17.21875" customWidth="1"/>
    <col min="8" max="9" width="19.109375" customWidth="1"/>
    <col min="10" max="10" width="15.6640625" customWidth="1"/>
  </cols>
  <sheetData>
    <row r="1" spans="1:7" ht="13.2">
      <c r="A1" s="1" t="s">
        <v>0</v>
      </c>
      <c r="B1" s="1" t="s">
        <v>1</v>
      </c>
      <c r="C1" s="2"/>
      <c r="D1" s="3"/>
      <c r="E1" s="3"/>
      <c r="F1" s="3"/>
      <c r="G1" s="3"/>
    </row>
    <row r="2" spans="1:7" ht="13.2">
      <c r="A2" s="1" t="s">
        <v>2</v>
      </c>
      <c r="B2" s="4" t="s">
        <v>3</v>
      </c>
      <c r="C2" s="5"/>
      <c r="D2" s="6">
        <v>2024</v>
      </c>
      <c r="E2" s="6" t="s">
        <v>4</v>
      </c>
      <c r="F2" s="6" t="s">
        <v>5</v>
      </c>
      <c r="G2" s="7" t="s">
        <v>6</v>
      </c>
    </row>
    <row r="3" spans="1:7" ht="13.2">
      <c r="B3" s="8" t="s">
        <v>7</v>
      </c>
      <c r="C3" s="9"/>
      <c r="D3" s="10">
        <f t="shared" ref="D3:G3" si="0">D27</f>
        <v>11246034307660</v>
      </c>
      <c r="E3" s="10">
        <f t="shared" si="0"/>
        <v>10886234803695.426</v>
      </c>
      <c r="F3" s="10">
        <f t="shared" si="0"/>
        <v>15166536449658.043</v>
      </c>
      <c r="G3" s="10">
        <f t="shared" si="0"/>
        <v>18722432277829.336</v>
      </c>
    </row>
    <row r="4" spans="1:7" ht="13.2">
      <c r="B4" s="11" t="s">
        <v>8</v>
      </c>
      <c r="C4" s="2" t="s">
        <v>9</v>
      </c>
      <c r="D4" s="12">
        <f t="shared" ref="D4:G4" si="1">D28</f>
        <v>588259735081</v>
      </c>
      <c r="E4" s="12">
        <f t="shared" si="1"/>
        <v>1914727688079.2239</v>
      </c>
      <c r="F4" s="12">
        <f t="shared" si="1"/>
        <v>4392620075454.9443</v>
      </c>
      <c r="G4" s="13">
        <f t="shared" si="1"/>
        <v>6175368594568.8291</v>
      </c>
    </row>
    <row r="5" spans="1:7" ht="13.2">
      <c r="B5" s="11"/>
      <c r="C5" s="2" t="s">
        <v>10</v>
      </c>
      <c r="D5" s="12">
        <f t="shared" ref="D5:G5" si="2">D30</f>
        <v>894491362699</v>
      </c>
      <c r="E5" s="12">
        <f t="shared" si="2"/>
        <v>748390387321.95972</v>
      </c>
      <c r="F5" s="12">
        <f t="shared" si="2"/>
        <v>960696500680.96643</v>
      </c>
      <c r="G5" s="13">
        <f t="shared" si="2"/>
        <v>1209727665804.0005</v>
      </c>
    </row>
    <row r="6" spans="1:7" ht="13.2">
      <c r="B6" s="14"/>
      <c r="C6" s="15" t="s">
        <v>11</v>
      </c>
      <c r="D6" s="16">
        <f t="shared" ref="D6:G6" si="3">D34</f>
        <v>2779695381926</v>
      </c>
      <c r="E6" s="16">
        <f t="shared" si="3"/>
        <v>2563807000000</v>
      </c>
      <c r="F6" s="16">
        <f t="shared" si="3"/>
        <v>2561506979156.0273</v>
      </c>
      <c r="G6" s="17">
        <f t="shared" si="3"/>
        <v>2545404213759.3613</v>
      </c>
    </row>
    <row r="7" spans="1:7" ht="13.2">
      <c r="B7" s="8" t="s">
        <v>12</v>
      </c>
      <c r="C7" s="9"/>
      <c r="D7" s="10">
        <f t="shared" ref="D7:G7" si="4">D38</f>
        <v>6597774853635</v>
      </c>
      <c r="E7" s="10">
        <f t="shared" si="4"/>
        <v>6785150528918.9912</v>
      </c>
      <c r="F7" s="10">
        <f t="shared" si="4"/>
        <v>7286115740707.5957</v>
      </c>
      <c r="G7" s="10">
        <f t="shared" si="4"/>
        <v>7697764638557.3418</v>
      </c>
    </row>
    <row r="8" spans="1:7" ht="13.2">
      <c r="B8" s="11"/>
      <c r="C8" s="2" t="s">
        <v>13</v>
      </c>
      <c r="D8" s="12">
        <f t="shared" ref="D8:G8" si="5">D44</f>
        <v>4648353653506</v>
      </c>
      <c r="E8" s="12">
        <f t="shared" si="5"/>
        <v>4831665653506</v>
      </c>
      <c r="F8" s="12">
        <f t="shared" si="5"/>
        <v>5105265653506</v>
      </c>
      <c r="G8" s="13">
        <f t="shared" si="5"/>
        <v>5249153653506</v>
      </c>
    </row>
    <row r="9" spans="1:7" ht="13.2">
      <c r="B9" s="11"/>
      <c r="C9" s="2" t="s">
        <v>14</v>
      </c>
      <c r="D9" s="12">
        <f t="shared" ref="D9:G9" si="6">D40</f>
        <v>324219319430</v>
      </c>
      <c r="E9" s="12">
        <f t="shared" si="6"/>
        <v>338626122005</v>
      </c>
      <c r="F9" s="12">
        <f t="shared" si="6"/>
        <v>353032924580</v>
      </c>
      <c r="G9" s="13">
        <f t="shared" si="6"/>
        <v>367439727155</v>
      </c>
    </row>
    <row r="10" spans="1:7" ht="13.2">
      <c r="B10" s="18" t="s">
        <v>15</v>
      </c>
      <c r="C10" s="19"/>
      <c r="D10" s="20">
        <f t="shared" ref="D10:G10" si="7">D50</f>
        <v>17843809161295</v>
      </c>
      <c r="E10" s="20">
        <f t="shared" si="7"/>
        <v>17671385332614.418</v>
      </c>
      <c r="F10" s="20">
        <f t="shared" si="7"/>
        <v>22452652190365.641</v>
      </c>
      <c r="G10" s="21">
        <f t="shared" si="7"/>
        <v>26420196916386.68</v>
      </c>
    </row>
    <row r="11" spans="1:7" ht="13.2">
      <c r="B11" s="11" t="s">
        <v>16</v>
      </c>
      <c r="C11" s="2"/>
      <c r="D11" s="12">
        <f t="shared" ref="D11:G11" si="8">D51</f>
        <v>10346614469478</v>
      </c>
      <c r="E11" s="12">
        <f t="shared" si="8"/>
        <v>9630283470355.0508</v>
      </c>
      <c r="F11" s="12">
        <f t="shared" si="8"/>
        <v>11667009795010.316</v>
      </c>
      <c r="G11" s="12">
        <f t="shared" si="8"/>
        <v>14743020032554.855</v>
      </c>
    </row>
    <row r="12" spans="1:7" ht="13.2">
      <c r="B12" s="11"/>
      <c r="C12" s="2" t="s">
        <v>17</v>
      </c>
      <c r="D12" s="12">
        <f t="shared" ref="D12:G12" si="9">D54</f>
        <v>1671989516015</v>
      </c>
      <c r="E12" s="12">
        <f t="shared" si="9"/>
        <v>1391700944379.7041</v>
      </c>
      <c r="F12" s="12">
        <f t="shared" si="9"/>
        <v>1516578047987.4414</v>
      </c>
      <c r="G12" s="13">
        <f t="shared" si="9"/>
        <v>1652987571763.8987</v>
      </c>
    </row>
    <row r="13" spans="1:7" ht="13.2">
      <c r="B13" s="11"/>
      <c r="C13" s="2" t="s">
        <v>18</v>
      </c>
      <c r="D13" s="12">
        <f t="shared" ref="D13:G13" si="10">D52</f>
        <v>3237744026040</v>
      </c>
      <c r="E13" s="12">
        <f t="shared" si="10"/>
        <v>3303543000436.8008</v>
      </c>
      <c r="F13" s="12">
        <f t="shared" si="10"/>
        <v>4178392615354.5537</v>
      </c>
      <c r="G13" s="13">
        <f t="shared" si="10"/>
        <v>5285072640504.1338</v>
      </c>
    </row>
    <row r="14" spans="1:7" ht="13.2">
      <c r="B14" s="8" t="s">
        <v>19</v>
      </c>
      <c r="C14" s="9"/>
      <c r="D14" s="10">
        <f t="shared" ref="D14:G14" si="11">D62</f>
        <v>2633844801092</v>
      </c>
      <c r="E14" s="10">
        <f t="shared" si="11"/>
        <v>3070709077208.9541</v>
      </c>
      <c r="F14" s="10">
        <f t="shared" si="11"/>
        <v>3636641249411.7651</v>
      </c>
      <c r="G14" s="10">
        <f t="shared" si="11"/>
        <v>4309695976199.1074</v>
      </c>
    </row>
    <row r="15" spans="1:7" ht="13.2">
      <c r="B15" s="11"/>
      <c r="C15" s="2" t="s">
        <v>20</v>
      </c>
      <c r="D15" s="12">
        <f t="shared" ref="D15:G15" si="12">D63</f>
        <v>2028126039778</v>
      </c>
      <c r="E15" s="12">
        <f t="shared" si="12"/>
        <v>2474313768529.1602</v>
      </c>
      <c r="F15" s="12">
        <f t="shared" si="12"/>
        <v>3018662797605.5752</v>
      </c>
      <c r="G15" s="13">
        <f t="shared" si="12"/>
        <v>3682768613078.8018</v>
      </c>
    </row>
    <row r="16" spans="1:7" ht="13.2">
      <c r="B16" s="11"/>
      <c r="C16" s="2" t="s">
        <v>21</v>
      </c>
      <c r="D16" s="12">
        <f t="shared" ref="D16:G16" si="13">D64</f>
        <v>15320021342</v>
      </c>
      <c r="E16" s="12">
        <f t="shared" si="13"/>
        <v>74499199085</v>
      </c>
      <c r="F16" s="12">
        <f t="shared" si="13"/>
        <v>79685454035</v>
      </c>
      <c r="G16" s="13">
        <f t="shared" si="13"/>
        <v>84871708985</v>
      </c>
    </row>
    <row r="17" spans="1:15" ht="13.2">
      <c r="B17" s="18" t="s">
        <v>22</v>
      </c>
      <c r="C17" s="19"/>
      <c r="D17" s="20">
        <f t="shared" ref="D17:G17" si="14">D71</f>
        <v>12980459270570</v>
      </c>
      <c r="E17" s="20">
        <f t="shared" si="14"/>
        <v>12700992547564.004</v>
      </c>
      <c r="F17" s="20">
        <f t="shared" si="14"/>
        <v>15303651044422.082</v>
      </c>
      <c r="G17" s="21">
        <f t="shared" si="14"/>
        <v>19052716008753.961</v>
      </c>
    </row>
    <row r="18" spans="1:15" ht="13.2">
      <c r="B18" s="11" t="s">
        <v>23</v>
      </c>
      <c r="C18" s="2"/>
      <c r="D18" s="12">
        <f t="shared" ref="D18:G18" si="15">D72</f>
        <v>4858676068261</v>
      </c>
      <c r="E18" s="12">
        <f t="shared" si="15"/>
        <v>5228647838023.1211</v>
      </c>
      <c r="F18" s="12">
        <f t="shared" si="15"/>
        <v>7094294748400.002</v>
      </c>
      <c r="G18" s="12">
        <f t="shared" si="15"/>
        <v>10811946195396.496</v>
      </c>
    </row>
    <row r="19" spans="1:15" ht="13.2">
      <c r="B19" s="11"/>
      <c r="C19" s="2" t="s">
        <v>24</v>
      </c>
      <c r="D19" s="12">
        <f t="shared" ref="D19:G19" si="16">D73</f>
        <v>1537066970000</v>
      </c>
      <c r="E19" s="12">
        <f t="shared" si="16"/>
        <v>1537066970000</v>
      </c>
      <c r="F19" s="12">
        <f t="shared" si="16"/>
        <v>1537066970000</v>
      </c>
      <c r="G19" s="13">
        <f t="shared" si="16"/>
        <v>1537066970000</v>
      </c>
    </row>
    <row r="20" spans="1:15" ht="13.2">
      <c r="B20" s="11"/>
      <c r="C20" s="2" t="s">
        <v>25</v>
      </c>
      <c r="D20" s="12">
        <f t="shared" ref="D20:G20" si="17">D74</f>
        <v>118688521746</v>
      </c>
      <c r="E20" s="12">
        <f t="shared" si="17"/>
        <v>118688521746</v>
      </c>
      <c r="F20" s="12">
        <f t="shared" si="17"/>
        <v>118688521746</v>
      </c>
      <c r="G20" s="13">
        <f t="shared" si="17"/>
        <v>118688521746</v>
      </c>
    </row>
    <row r="21" spans="1:15" ht="13.2">
      <c r="B21" s="11"/>
      <c r="C21" s="2" t="s">
        <v>26</v>
      </c>
      <c r="D21" s="12">
        <f t="shared" ref="D21:G21" si="18">D78</f>
        <v>236448278992</v>
      </c>
      <c r="E21" s="12">
        <f t="shared" si="18"/>
        <v>564794113609.21729</v>
      </c>
      <c r="F21" s="12">
        <f t="shared" si="18"/>
        <v>2425097711685.1934</v>
      </c>
      <c r="G21" s="13">
        <f t="shared" si="18"/>
        <v>6137405846380.7832</v>
      </c>
    </row>
    <row r="22" spans="1:15" ht="13.2">
      <c r="B22" s="11" t="s">
        <v>27</v>
      </c>
      <c r="C22" s="2"/>
      <c r="D22" s="12">
        <f t="shared" ref="D22:G22" si="19">D79</f>
        <v>4673822464</v>
      </c>
      <c r="E22" s="12">
        <f t="shared" si="19"/>
        <v>4662852149.9041004</v>
      </c>
      <c r="F22" s="12">
        <f t="shared" si="19"/>
        <v>4651881835.8082008</v>
      </c>
      <c r="G22" s="13">
        <f t="shared" si="19"/>
        <v>4640911521.7123013</v>
      </c>
    </row>
    <row r="23" spans="1:15" ht="13.2">
      <c r="B23" s="18" t="s">
        <v>28</v>
      </c>
      <c r="C23" s="19"/>
      <c r="D23" s="20">
        <f t="shared" ref="D23:G23" si="20">D80</f>
        <v>4863349890725</v>
      </c>
      <c r="E23" s="20">
        <f t="shared" si="20"/>
        <v>5233310690173.0254</v>
      </c>
      <c r="F23" s="20">
        <f t="shared" si="20"/>
        <v>7098946630235.8105</v>
      </c>
      <c r="G23" s="21">
        <f t="shared" si="20"/>
        <v>10816587106918.209</v>
      </c>
    </row>
    <row r="24" spans="1:15" ht="13.2">
      <c r="C24" s="2"/>
      <c r="D24" s="3"/>
      <c r="E24" s="3"/>
      <c r="F24" s="3"/>
      <c r="G24" s="3"/>
    </row>
    <row r="25" spans="1:15" ht="13.2">
      <c r="A25" s="1" t="s">
        <v>0</v>
      </c>
      <c r="B25" s="1" t="s">
        <v>29</v>
      </c>
      <c r="C25" s="2"/>
      <c r="D25" s="3"/>
      <c r="E25" s="3"/>
      <c r="F25" s="3"/>
      <c r="G25" s="3"/>
    </row>
    <row r="26" spans="1:15" ht="13.2">
      <c r="B26" s="4" t="s">
        <v>30</v>
      </c>
      <c r="C26" s="5"/>
      <c r="D26" s="22">
        <v>2024</v>
      </c>
      <c r="E26" s="6" t="s">
        <v>4</v>
      </c>
      <c r="F26" s="6" t="s">
        <v>5</v>
      </c>
      <c r="G26" s="7" t="s">
        <v>6</v>
      </c>
    </row>
    <row r="27" spans="1:15" ht="22.5" customHeight="1">
      <c r="B27" s="11" t="s">
        <v>7</v>
      </c>
      <c r="C27" s="23"/>
      <c r="D27" s="24">
        <v>11246034307660</v>
      </c>
      <c r="E27" s="25">
        <f t="shared" ref="E27:G27" si="21">SUM(E28:E37)</f>
        <v>10886234803695.426</v>
      </c>
      <c r="F27" s="25">
        <f t="shared" si="21"/>
        <v>15166536449658.043</v>
      </c>
      <c r="G27" s="25">
        <f t="shared" si="21"/>
        <v>18722432277829.336</v>
      </c>
      <c r="I27" s="26" t="s">
        <v>31</v>
      </c>
      <c r="J27" s="26" t="s">
        <v>32</v>
      </c>
      <c r="K27" s="26" t="s">
        <v>33</v>
      </c>
      <c r="L27" s="26" t="s">
        <v>34</v>
      </c>
    </row>
    <row r="28" spans="1:15" ht="22.5" customHeight="1">
      <c r="A28" s="1" t="s">
        <v>35</v>
      </c>
      <c r="B28" s="11"/>
      <c r="C28" s="1" t="s">
        <v>36</v>
      </c>
      <c r="D28" s="27">
        <v>588259735081</v>
      </c>
      <c r="E28" s="27">
        <f>현금흐름표!E20</f>
        <v>1914727688079.2239</v>
      </c>
      <c r="F28" s="27">
        <f>현금흐름표!F20</f>
        <v>4392620075454.9443</v>
      </c>
      <c r="G28" s="27">
        <f>현금흐름표!G20</f>
        <v>6175368594568.8291</v>
      </c>
      <c r="I28" s="26" t="s">
        <v>37</v>
      </c>
      <c r="J28" s="28">
        <f>'매출액 추정'!C10</f>
        <v>4860150000000</v>
      </c>
      <c r="K28" s="28">
        <f>'매출액 추정'!D10</f>
        <v>7408312000000</v>
      </c>
      <c r="L28" s="28">
        <f>'매출액 추정'!E10</f>
        <v>10776005000000</v>
      </c>
    </row>
    <row r="29" spans="1:15" ht="22.5" customHeight="1">
      <c r="A29" s="1" t="s">
        <v>2</v>
      </c>
      <c r="B29" s="11"/>
      <c r="C29" s="1" t="s">
        <v>38</v>
      </c>
      <c r="D29" s="27">
        <v>46003529174</v>
      </c>
      <c r="E29" s="27">
        <v>46003529174</v>
      </c>
      <c r="F29" s="27">
        <v>46003529174</v>
      </c>
      <c r="G29" s="27">
        <v>46003529174</v>
      </c>
      <c r="H29" s="29"/>
      <c r="I29" s="30" t="s">
        <v>39</v>
      </c>
      <c r="J29" s="31">
        <v>404741920827</v>
      </c>
      <c r="K29" s="32">
        <v>332546692552</v>
      </c>
      <c r="L29" s="32">
        <v>894491362699</v>
      </c>
    </row>
    <row r="30" spans="1:15" ht="22.5" customHeight="1">
      <c r="A30" s="33" t="s">
        <v>2</v>
      </c>
      <c r="B30" s="11"/>
      <c r="C30" s="34" t="s">
        <v>39</v>
      </c>
      <c r="D30" s="27">
        <v>894491362699</v>
      </c>
      <c r="E30" s="27">
        <f>포괄손익계산서!E23*$J$30</f>
        <v>748390387321.95972</v>
      </c>
      <c r="F30" s="27">
        <f>포괄손익계산서!F23*$J$30</f>
        <v>960696500680.96643</v>
      </c>
      <c r="G30" s="35">
        <f>포괄손익계산서!G23*$J$30</f>
        <v>1209727665804.0005</v>
      </c>
      <c r="I30" s="36" t="s">
        <v>40</v>
      </c>
      <c r="J30" s="37">
        <f>SUM(J29:L29)/SUM(J28:L28)</f>
        <v>7.0810055015722434E-2</v>
      </c>
    </row>
    <row r="31" spans="1:15" ht="13.2">
      <c r="A31" s="33" t="s">
        <v>41</v>
      </c>
      <c r="B31" s="11"/>
      <c r="C31" s="34" t="s">
        <v>42</v>
      </c>
      <c r="D31" s="27">
        <v>4986595942873</v>
      </c>
      <c r="E31" s="27">
        <f>'매출액 추정'!H87</f>
        <v>3677427549488.1045</v>
      </c>
      <c r="F31" s="25">
        <f>'매출액 추정'!I87</f>
        <v>4720653602918.5303</v>
      </c>
      <c r="G31" s="38">
        <f>'매출액 추정'!J87</f>
        <v>5616697862465.7529</v>
      </c>
    </row>
    <row r="32" spans="1:15" ht="13.2">
      <c r="A32" s="33" t="s">
        <v>2</v>
      </c>
      <c r="B32" s="11"/>
      <c r="C32" s="34" t="s">
        <v>43</v>
      </c>
      <c r="D32" s="27">
        <v>343936218148</v>
      </c>
      <c r="E32" s="39">
        <v>0</v>
      </c>
      <c r="F32" s="39">
        <v>0</v>
      </c>
      <c r="G32" s="40">
        <v>0</v>
      </c>
      <c r="M32" s="41"/>
      <c r="N32" s="41"/>
      <c r="O32" s="41"/>
    </row>
    <row r="33" spans="1:26" ht="15.75" customHeight="1">
      <c r="A33" s="33" t="s">
        <v>44</v>
      </c>
      <c r="B33" s="11"/>
      <c r="C33" s="1" t="s">
        <v>45</v>
      </c>
      <c r="D33" s="27">
        <v>1002957856</v>
      </c>
      <c r="E33" s="27">
        <v>0</v>
      </c>
      <c r="F33" s="27">
        <v>0</v>
      </c>
      <c r="G33" s="35">
        <v>0</v>
      </c>
      <c r="H33" s="1"/>
      <c r="M33" s="41"/>
      <c r="N33" s="41"/>
      <c r="O33" s="41"/>
    </row>
    <row r="34" spans="1:26" ht="13.2">
      <c r="A34" s="33" t="s">
        <v>2</v>
      </c>
      <c r="B34" s="11"/>
      <c r="C34" s="34" t="s">
        <v>11</v>
      </c>
      <c r="D34" s="27">
        <v>2779695381926</v>
      </c>
      <c r="E34" s="27">
        <f>(360479+2203328)*1000000</f>
        <v>2563807000000</v>
      </c>
      <c r="F34" s="27">
        <f>(360479*((비용파트!E12/비용파트!F12)*0.7+(비용파트!E13/비용파트!F13)*0.3)+2203328)*1000000</f>
        <v>2561506979156.0273</v>
      </c>
      <c r="G34" s="35">
        <f>(360479*((비용파트!D12/비용파트!E12)*0.7+(비용파트!D13/비용파트!E13)*0.3)+2203328)*1000000</f>
        <v>2545404213759.3613</v>
      </c>
      <c r="H34" s="29"/>
      <c r="I34" s="29"/>
      <c r="J34" s="29"/>
      <c r="K34" s="29"/>
      <c r="L34" s="42"/>
      <c r="M34" s="43"/>
      <c r="N34" s="41"/>
    </row>
    <row r="35" spans="1:26" ht="13.2">
      <c r="A35" s="33" t="s">
        <v>2</v>
      </c>
      <c r="B35" s="11"/>
      <c r="C35" s="1" t="s">
        <v>46</v>
      </c>
      <c r="D35" s="27">
        <v>8632120022</v>
      </c>
      <c r="E35" s="27">
        <f>포괄손익계산서!E23*0.000866</f>
        <v>9152740741.0842113</v>
      </c>
      <c r="F35" s="27">
        <f>포괄손익계산서!F23*0.000866</f>
        <v>11749223601.153685</v>
      </c>
      <c r="G35" s="35">
        <f>포괄손익계산서!G23*0.000866</f>
        <v>14794850227.889999</v>
      </c>
      <c r="L35" s="41"/>
      <c r="M35" s="41"/>
      <c r="N35" s="41"/>
    </row>
    <row r="36" spans="1:26" ht="13.2">
      <c r="A36" s="33" t="s">
        <v>2</v>
      </c>
      <c r="B36" s="11"/>
      <c r="C36" s="34" t="s">
        <v>47</v>
      </c>
      <c r="D36" s="27">
        <v>1597417059881</v>
      </c>
      <c r="E36" s="27">
        <f>포괄손익계산서!E23*0.1823</f>
        <v>1926725908891.0527</v>
      </c>
      <c r="F36" s="27">
        <f>포괄손익계산서!F23*0.1823</f>
        <v>2473306538672.4209</v>
      </c>
      <c r="G36" s="35">
        <f>포괄손익계산서!G23*0.1823</f>
        <v>3114435561829.5</v>
      </c>
      <c r="L36" s="41"/>
      <c r="M36" s="41"/>
      <c r="N36" s="41"/>
    </row>
    <row r="37" spans="1:26" ht="13.2">
      <c r="A37" s="33" t="s">
        <v>2</v>
      </c>
      <c r="B37" s="11"/>
      <c r="C37" s="1" t="s">
        <v>48</v>
      </c>
      <c r="D37" s="27">
        <v>0</v>
      </c>
      <c r="E37" s="27">
        <v>0</v>
      </c>
      <c r="F37" s="27">
        <v>0</v>
      </c>
      <c r="G37" s="35">
        <v>0</v>
      </c>
      <c r="L37" s="41"/>
      <c r="M37" s="41"/>
      <c r="N37" s="41"/>
    </row>
    <row r="38" spans="1:26" ht="13.2">
      <c r="A38" s="33"/>
      <c r="B38" s="8" t="s">
        <v>12</v>
      </c>
      <c r="C38" s="44"/>
      <c r="D38" s="24">
        <v>6597774853635</v>
      </c>
      <c r="E38" s="45">
        <f t="shared" ref="E38:G38" si="22">SUM(E39:E49)</f>
        <v>6785150528918.9912</v>
      </c>
      <c r="F38" s="45">
        <f t="shared" si="22"/>
        <v>7286115740707.5957</v>
      </c>
      <c r="G38" s="45">
        <f t="shared" si="22"/>
        <v>7697764638557.3418</v>
      </c>
      <c r="L38" s="41"/>
      <c r="M38" s="41"/>
      <c r="N38" s="41"/>
    </row>
    <row r="39" spans="1:26" ht="13.2">
      <c r="A39" s="33" t="s">
        <v>49</v>
      </c>
      <c r="B39" s="11"/>
      <c r="C39" s="1" t="s">
        <v>50</v>
      </c>
      <c r="D39" s="27">
        <v>254635467179</v>
      </c>
      <c r="E39" s="25">
        <f>D39</f>
        <v>254635467179</v>
      </c>
      <c r="F39" s="25">
        <f>D39</f>
        <v>254635467179</v>
      </c>
      <c r="G39" s="38">
        <f>D39</f>
        <v>254635467179</v>
      </c>
      <c r="K39" s="1" t="s">
        <v>51</v>
      </c>
      <c r="L39" s="46">
        <v>46022</v>
      </c>
      <c r="M39" s="41" t="s">
        <v>52</v>
      </c>
      <c r="N39" s="41" t="s">
        <v>53</v>
      </c>
    </row>
    <row r="40" spans="1:26" ht="13.2">
      <c r="A40" s="33" t="s">
        <v>2</v>
      </c>
      <c r="B40" s="11"/>
      <c r="C40" s="1" t="s">
        <v>54</v>
      </c>
      <c r="D40" s="27">
        <v>324219319430</v>
      </c>
      <c r="E40" s="25">
        <f>D40+포괄손익계산서!E32</f>
        <v>338626122005</v>
      </c>
      <c r="F40" s="25">
        <f>E40+포괄손익계산서!F32</f>
        <v>353032924580</v>
      </c>
      <c r="G40" s="38">
        <f>F40+포괄손익계산서!G32</f>
        <v>367439727155</v>
      </c>
      <c r="K40" s="41">
        <v>800000000</v>
      </c>
      <c r="L40" s="47">
        <v>1443.64</v>
      </c>
      <c r="M40" s="41">
        <v>1420.4</v>
      </c>
      <c r="N40" s="41">
        <v>1413.89</v>
      </c>
    </row>
    <row r="41" spans="1:26" ht="13.2">
      <c r="A41" s="33" t="s">
        <v>41</v>
      </c>
      <c r="B41" s="11"/>
      <c r="C41" s="34" t="s">
        <v>55</v>
      </c>
      <c r="D41" s="27">
        <v>267215330308</v>
      </c>
      <c r="E41" s="25">
        <f>'매출액 추정'!G99</f>
        <v>326349278875.67847</v>
      </c>
      <c r="F41" s="25">
        <f>'매출액 추정'!H99</f>
        <v>418929232024.9201</v>
      </c>
      <c r="G41" s="38">
        <f>'매출액 추정'!I99</f>
        <v>527523813853.11926</v>
      </c>
      <c r="L41" s="41"/>
      <c r="M41" s="41"/>
      <c r="N41" s="41"/>
    </row>
    <row r="42" spans="1:26" ht="13.2">
      <c r="A42" s="33" t="s">
        <v>41</v>
      </c>
      <c r="B42" s="11"/>
      <c r="C42" s="34" t="s">
        <v>56</v>
      </c>
      <c r="D42" s="27">
        <v>37718500441</v>
      </c>
      <c r="E42" s="48">
        <v>0</v>
      </c>
      <c r="F42" s="25">
        <v>0</v>
      </c>
      <c r="G42" s="38">
        <v>0</v>
      </c>
      <c r="M42" s="41"/>
      <c r="N42" s="41"/>
    </row>
    <row r="43" spans="1:26" ht="15.75" customHeight="1">
      <c r="A43" s="1" t="s">
        <v>44</v>
      </c>
      <c r="B43" s="11"/>
      <c r="C43" s="1" t="s">
        <v>57</v>
      </c>
      <c r="D43" s="27">
        <v>0</v>
      </c>
      <c r="E43" s="27">
        <v>0</v>
      </c>
      <c r="F43" s="27">
        <v>0</v>
      </c>
      <c r="G43" s="35">
        <v>0</v>
      </c>
      <c r="L43" s="41"/>
      <c r="M43" s="41"/>
      <c r="N43" s="41"/>
      <c r="X43" s="1">
        <v>2025</v>
      </c>
      <c r="Y43" s="1">
        <v>2026</v>
      </c>
      <c r="Z43" s="1">
        <v>2027</v>
      </c>
    </row>
    <row r="44" spans="1:26" ht="15" customHeight="1">
      <c r="A44" s="1" t="s">
        <v>44</v>
      </c>
      <c r="B44" s="11"/>
      <c r="C44" s="1" t="s">
        <v>13</v>
      </c>
      <c r="D44" s="27">
        <v>4648353653506</v>
      </c>
      <c r="E44" s="25">
        <f t="shared" ref="E44:G44" si="23">D44+X45+X47</f>
        <v>4831665653506</v>
      </c>
      <c r="F44" s="25">
        <f t="shared" si="23"/>
        <v>5105265653506</v>
      </c>
      <c r="G44" s="25">
        <f t="shared" si="23"/>
        <v>5249153653506</v>
      </c>
      <c r="J44" s="1" t="s">
        <v>58</v>
      </c>
      <c r="N44" s="49"/>
      <c r="O44" s="1" t="s">
        <v>59</v>
      </c>
      <c r="P44" s="1" t="s">
        <v>60</v>
      </c>
      <c r="Q44" s="1" t="s">
        <v>61</v>
      </c>
      <c r="R44" s="1" t="s">
        <v>62</v>
      </c>
      <c r="S44" s="1" t="s">
        <v>63</v>
      </c>
      <c r="T44" s="1" t="s">
        <v>64</v>
      </c>
      <c r="U44" s="49"/>
      <c r="X44" s="1">
        <v>0.33500000000000002</v>
      </c>
      <c r="Y44" s="1">
        <v>0.5</v>
      </c>
      <c r="Z44" s="1">
        <v>0.16500000000000001</v>
      </c>
    </row>
    <row r="45" spans="1:26" ht="14.25" customHeight="1">
      <c r="A45" s="1" t="s">
        <v>44</v>
      </c>
      <c r="B45" s="11"/>
      <c r="C45" s="1" t="s">
        <v>65</v>
      </c>
      <c r="D45" s="27">
        <v>133041573649</v>
      </c>
      <c r="E45" s="39">
        <v>112467000000</v>
      </c>
      <c r="F45" s="25">
        <v>91892000000</v>
      </c>
      <c r="G45" s="38">
        <v>71317000000</v>
      </c>
      <c r="J45" s="1" t="s">
        <v>66</v>
      </c>
      <c r="L45" s="41"/>
      <c r="M45" s="41"/>
      <c r="N45" s="1" t="s">
        <v>67</v>
      </c>
      <c r="O45" s="41">
        <v>35272</v>
      </c>
      <c r="P45" s="1">
        <v>41</v>
      </c>
      <c r="Q45" s="41">
        <v>56674</v>
      </c>
      <c r="R45" s="41">
        <v>8771</v>
      </c>
      <c r="S45" s="41">
        <v>39950</v>
      </c>
      <c r="T45" s="1">
        <v>8</v>
      </c>
      <c r="V45" s="1" t="s">
        <v>68</v>
      </c>
      <c r="W45" s="41">
        <v>332800000000</v>
      </c>
      <c r="X45" s="1">
        <f t="shared" ref="X45:Z45" si="24">$W$45*X44</f>
        <v>111488000000</v>
      </c>
      <c r="Y45" s="1">
        <f t="shared" si="24"/>
        <v>166400000000</v>
      </c>
      <c r="Z45" s="1">
        <f t="shared" si="24"/>
        <v>54912000000</v>
      </c>
    </row>
    <row r="46" spans="1:26" ht="15.75" customHeight="1">
      <c r="A46" s="1" t="s">
        <v>44</v>
      </c>
      <c r="B46" s="11"/>
      <c r="C46" s="1" t="s">
        <v>69</v>
      </c>
      <c r="D46" s="27">
        <v>394140100251</v>
      </c>
      <c r="E46" s="50">
        <v>394147600251</v>
      </c>
      <c r="F46" s="25">
        <v>394155100251</v>
      </c>
      <c r="G46" s="38">
        <v>394162600251</v>
      </c>
      <c r="J46" s="1" t="s">
        <v>70</v>
      </c>
      <c r="L46" s="41"/>
      <c r="M46" s="41"/>
      <c r="N46" s="1" t="s">
        <v>71</v>
      </c>
      <c r="O46" s="41">
        <v>7701</v>
      </c>
      <c r="P46" s="1">
        <v>65</v>
      </c>
      <c r="Q46" s="41">
        <v>11121</v>
      </c>
      <c r="R46" s="41">
        <v>1833</v>
      </c>
      <c r="S46" s="41">
        <v>7529</v>
      </c>
      <c r="X46" s="1">
        <f>0.67/2.5</f>
        <v>0.26800000000000002</v>
      </c>
      <c r="Y46" s="1">
        <f>1/2.5</f>
        <v>0.4</v>
      </c>
      <c r="Z46" s="1">
        <v>0.33200000000000002</v>
      </c>
    </row>
    <row r="47" spans="1:26" ht="13.2">
      <c r="A47" s="1" t="s">
        <v>2</v>
      </c>
      <c r="B47" s="11"/>
      <c r="C47" s="1" t="s">
        <v>72</v>
      </c>
      <c r="D47" s="27">
        <v>506573927196</v>
      </c>
      <c r="E47" s="25">
        <f>D47*포괄손익계산서!E23/포괄손익계산서!D23</f>
        <v>496842022029.31207</v>
      </c>
      <c r="F47" s="25">
        <f>E47*포괄손익계산서!F23/포괄손익계산서!E23</f>
        <v>637787978093.67603</v>
      </c>
      <c r="G47" s="38">
        <f>F47*포괄손익계산서!G23/포괄손익계산서!F23</f>
        <v>803114991540.22253</v>
      </c>
      <c r="J47" s="1" t="s">
        <v>73</v>
      </c>
      <c r="L47" s="41">
        <f>D45-E45</f>
        <v>20574573649</v>
      </c>
      <c r="M47" s="41"/>
      <c r="N47" s="1" t="s">
        <v>74</v>
      </c>
      <c r="O47" s="41">
        <f t="shared" ref="O47:S47" si="25">O45-O46</f>
        <v>27571</v>
      </c>
      <c r="P47" s="1">
        <f t="shared" si="25"/>
        <v>-24</v>
      </c>
      <c r="Q47" s="41">
        <f t="shared" si="25"/>
        <v>45553</v>
      </c>
      <c r="R47" s="41">
        <f t="shared" si="25"/>
        <v>6938</v>
      </c>
      <c r="S47" s="41">
        <f t="shared" si="25"/>
        <v>32421</v>
      </c>
      <c r="T47" s="1">
        <v>8</v>
      </c>
      <c r="U47" s="41">
        <f>SUM(O47:T47)</f>
        <v>112467</v>
      </c>
      <c r="V47" s="1" t="s">
        <v>75</v>
      </c>
      <c r="W47" s="41">
        <v>268000000000</v>
      </c>
      <c r="X47" s="1">
        <f t="shared" ref="X47:Z47" si="26">$W$47*X46</f>
        <v>71824000000</v>
      </c>
      <c r="Y47" s="1">
        <f t="shared" si="26"/>
        <v>107200000000</v>
      </c>
      <c r="Z47" s="1">
        <f t="shared" si="26"/>
        <v>88976000000</v>
      </c>
    </row>
    <row r="48" spans="1:26" ht="13.2">
      <c r="A48" s="1" t="s">
        <v>2</v>
      </c>
      <c r="B48" s="11"/>
      <c r="C48" s="34" t="s">
        <v>76</v>
      </c>
      <c r="D48" s="27">
        <v>30417385073</v>
      </c>
      <c r="E48" s="27">
        <v>30417385073</v>
      </c>
      <c r="F48" s="27">
        <v>30417385073</v>
      </c>
      <c r="G48" s="35">
        <v>30417385073</v>
      </c>
      <c r="L48" s="41"/>
      <c r="M48" s="41"/>
      <c r="N48" s="41"/>
    </row>
    <row r="49" spans="1:18" ht="13.2">
      <c r="A49" s="1" t="s">
        <v>44</v>
      </c>
      <c r="B49" s="11"/>
      <c r="C49" s="1" t="s">
        <v>77</v>
      </c>
      <c r="D49" s="27">
        <v>1459596602</v>
      </c>
      <c r="E49" s="25">
        <v>0</v>
      </c>
      <c r="F49" s="25">
        <v>0</v>
      </c>
      <c r="G49" s="38">
        <v>0</v>
      </c>
      <c r="L49" s="41"/>
      <c r="M49" s="41"/>
      <c r="N49" s="41"/>
    </row>
    <row r="50" spans="1:18" ht="13.2">
      <c r="B50" s="18" t="s">
        <v>15</v>
      </c>
      <c r="C50" s="51"/>
      <c r="D50" s="52">
        <v>17843809161295</v>
      </c>
      <c r="E50" s="52">
        <f t="shared" ref="E50:G50" si="27">E27+E38</f>
        <v>17671385332614.418</v>
      </c>
      <c r="F50" s="52">
        <f t="shared" si="27"/>
        <v>22452652190365.641</v>
      </c>
      <c r="G50" s="52">
        <f t="shared" si="27"/>
        <v>26420196916386.68</v>
      </c>
      <c r="N50" s="41"/>
    </row>
    <row r="51" spans="1:18" ht="22.5" customHeight="1">
      <c r="B51" s="11" t="s">
        <v>16</v>
      </c>
      <c r="C51" s="23"/>
      <c r="D51" s="25">
        <v>10346614469478</v>
      </c>
      <c r="E51" s="25">
        <f t="shared" ref="E51:G51" si="28">SUM(E52:E61)</f>
        <v>9630283470355.0508</v>
      </c>
      <c r="F51" s="25">
        <f t="shared" si="28"/>
        <v>11667009795010.316</v>
      </c>
      <c r="G51" s="25">
        <f t="shared" si="28"/>
        <v>14743020032554.855</v>
      </c>
      <c r="J51" s="26" t="s">
        <v>78</v>
      </c>
      <c r="K51" s="26" t="s">
        <v>79</v>
      </c>
      <c r="L51" s="26" t="s">
        <v>32</v>
      </c>
      <c r="M51" s="53" t="s">
        <v>80</v>
      </c>
      <c r="N51" s="53" t="s">
        <v>81</v>
      </c>
      <c r="O51" s="49" t="s">
        <v>82</v>
      </c>
    </row>
    <row r="52" spans="1:18" ht="22.5" customHeight="1">
      <c r="A52" s="1" t="s">
        <v>2</v>
      </c>
      <c r="B52" s="11"/>
      <c r="C52" s="54" t="s">
        <v>18</v>
      </c>
      <c r="D52" s="55">
        <v>3237744026040</v>
      </c>
      <c r="E52" s="55">
        <f>포괄손익계산서!E23*D52/포괄손익계산서!D23+K57</f>
        <v>3303543000436.8008</v>
      </c>
      <c r="F52" s="55">
        <f>포괄손익계산서!F23*D52/포괄손익계산서!D23+L57</f>
        <v>4178392615354.5537</v>
      </c>
      <c r="G52" s="55">
        <f>포괄손익계산서!G23*D52/포괄손익계산서!D23+M57</f>
        <v>5285072640504.1338</v>
      </c>
      <c r="H52" s="33"/>
      <c r="J52" s="36" t="s">
        <v>83</v>
      </c>
      <c r="K52" s="28">
        <v>669851318850</v>
      </c>
      <c r="L52" s="28">
        <v>921458489386</v>
      </c>
      <c r="M52" s="28">
        <v>1176410906419</v>
      </c>
      <c r="N52" s="28">
        <f>D54</f>
        <v>1671989516015</v>
      </c>
      <c r="O52" s="56"/>
      <c r="P52" s="57"/>
      <c r="Q52" s="57"/>
      <c r="R52" s="57"/>
    </row>
    <row r="53" spans="1:18" ht="22.5" customHeight="1">
      <c r="A53" s="1" t="s">
        <v>2</v>
      </c>
      <c r="B53" s="11"/>
      <c r="C53" s="1" t="s">
        <v>84</v>
      </c>
      <c r="D53" s="58">
        <v>0</v>
      </c>
      <c r="E53" s="58">
        <v>0</v>
      </c>
      <c r="F53" s="58">
        <v>0</v>
      </c>
      <c r="G53" s="58">
        <v>0</v>
      </c>
      <c r="J53" s="36" t="s">
        <v>85</v>
      </c>
      <c r="K53" s="28"/>
      <c r="L53" s="28">
        <v>6207032528586</v>
      </c>
      <c r="M53" s="28">
        <v>7309503815084</v>
      </c>
      <c r="N53" s="28">
        <f>포괄손익계산서!D24</f>
        <v>10092078699901</v>
      </c>
      <c r="O53" s="56"/>
    </row>
    <row r="54" spans="1:18" ht="22.5" customHeight="1">
      <c r="A54" s="1" t="s">
        <v>2</v>
      </c>
      <c r="B54" s="11"/>
      <c r="C54" s="34" t="s">
        <v>86</v>
      </c>
      <c r="D54" s="25">
        <v>1671989516015</v>
      </c>
      <c r="E54" s="25">
        <f>포괄손익계산서!E24/O54</f>
        <v>1391700944379.7041</v>
      </c>
      <c r="F54" s="25">
        <f>포괄손익계산서!F24/O54</f>
        <v>1516578047987.4414</v>
      </c>
      <c r="G54" s="38">
        <f>포괄손익계산서!G24/O54</f>
        <v>1652987571763.8987</v>
      </c>
      <c r="J54" s="36" t="s">
        <v>87</v>
      </c>
      <c r="K54" s="59"/>
      <c r="L54" s="60">
        <f t="shared" ref="L54:N54" si="29">2*L53/(K52+L52)</f>
        <v>7.8011616549597269</v>
      </c>
      <c r="M54" s="60">
        <f t="shared" si="29"/>
        <v>6.9685022620573367</v>
      </c>
      <c r="N54" s="60">
        <f t="shared" si="29"/>
        <v>7.0861376233592681</v>
      </c>
      <c r="O54" s="61">
        <f>N54*0.6+M54*0.3+L54*0.1</f>
        <v>7.122349418128735</v>
      </c>
    </row>
    <row r="55" spans="1:18" ht="13.2">
      <c r="A55" s="1" t="s">
        <v>2</v>
      </c>
      <c r="B55" s="11"/>
      <c r="C55" s="54" t="s">
        <v>88</v>
      </c>
      <c r="D55" s="25">
        <v>30464359467</v>
      </c>
      <c r="E55" s="25">
        <v>30464359467</v>
      </c>
      <c r="F55" s="25">
        <v>30464359467</v>
      </c>
      <c r="G55" s="38">
        <v>30464359467</v>
      </c>
      <c r="L55" s="41"/>
      <c r="M55" s="41"/>
      <c r="N55" s="41"/>
      <c r="P55" s="46"/>
      <c r="Q55" s="46"/>
      <c r="R55" s="46"/>
    </row>
    <row r="56" spans="1:18" ht="22.5" customHeight="1">
      <c r="A56" s="1" t="s">
        <v>2</v>
      </c>
      <c r="B56" s="11"/>
      <c r="C56" s="34" t="s">
        <v>89</v>
      </c>
      <c r="D56" s="25">
        <v>0</v>
      </c>
      <c r="E56" s="25">
        <v>0</v>
      </c>
      <c r="F56" s="25">
        <v>0</v>
      </c>
      <c r="G56" s="25">
        <v>0</v>
      </c>
      <c r="J56" s="26" t="s">
        <v>90</v>
      </c>
      <c r="K56" s="26" t="s">
        <v>91</v>
      </c>
      <c r="L56" s="53" t="s">
        <v>92</v>
      </c>
      <c r="M56" s="53" t="s">
        <v>93</v>
      </c>
      <c r="P56" s="47"/>
      <c r="Q56" s="47"/>
      <c r="R56" s="47"/>
    </row>
    <row r="57" spans="1:18" ht="22.5" customHeight="1">
      <c r="A57" s="1" t="s">
        <v>44</v>
      </c>
      <c r="B57" s="11"/>
      <c r="C57" s="1" t="s">
        <v>94</v>
      </c>
      <c r="D57" s="62">
        <v>347617380226</v>
      </c>
      <c r="E57" s="25">
        <f t="shared" ref="E57:G57" si="30">-P60</f>
        <v>0</v>
      </c>
      <c r="F57" s="25">
        <f t="shared" si="30"/>
        <v>0</v>
      </c>
      <c r="G57" s="38">
        <f t="shared" si="30"/>
        <v>0</v>
      </c>
      <c r="J57" s="36" t="s">
        <v>95</v>
      </c>
      <c r="K57" s="28">
        <v>128000000000</v>
      </c>
      <c r="L57" s="28">
        <v>102000000000</v>
      </c>
      <c r="M57" s="28">
        <v>152000000000</v>
      </c>
      <c r="N57" s="41"/>
      <c r="P57" s="47"/>
      <c r="Q57" s="47"/>
      <c r="R57" s="47"/>
    </row>
    <row r="58" spans="1:18" ht="22.5" customHeight="1">
      <c r="A58" s="33" t="s">
        <v>41</v>
      </c>
      <c r="B58" s="11"/>
      <c r="C58" s="34" t="s">
        <v>96</v>
      </c>
      <c r="D58" s="25">
        <v>4315343882051</v>
      </c>
      <c r="E58" s="25">
        <f>'매출액 추정'!H93</f>
        <v>4256549998226.3887</v>
      </c>
      <c r="F58" s="39">
        <f>'매출액 추정'!I93</f>
        <v>5464063619126.1729</v>
      </c>
      <c r="G58" s="38">
        <f>'매출액 추정'!J93</f>
        <v>6880454881520.5479</v>
      </c>
      <c r="J58" s="36" t="s">
        <v>97</v>
      </c>
      <c r="K58" s="28">
        <v>254000000000</v>
      </c>
      <c r="L58" s="28">
        <v>152000000000</v>
      </c>
      <c r="M58" s="28">
        <v>0</v>
      </c>
      <c r="N58" s="41"/>
      <c r="P58" s="63"/>
      <c r="Q58" s="63"/>
      <c r="R58" s="63"/>
    </row>
    <row r="59" spans="1:18" ht="13.2">
      <c r="A59" s="1" t="s">
        <v>2</v>
      </c>
      <c r="B59" s="11"/>
      <c r="C59" s="34" t="s">
        <v>98</v>
      </c>
      <c r="D59" s="25">
        <v>364183967238</v>
      </c>
      <c r="E59" s="25">
        <f>60012000000*포괄손익계산서!E23/포괄손익계산서!D23+217181000000</f>
        <v>276040096027.82751</v>
      </c>
      <c r="F59" s="39"/>
      <c r="G59" s="38">
        <f>60012000000*포괄손익계산서!G23/포괄손익계산서!F23+217181000000</f>
        <v>292749274297.62701</v>
      </c>
      <c r="L59" s="41"/>
      <c r="M59" s="41"/>
      <c r="N59" s="64"/>
      <c r="O59" s="64"/>
      <c r="P59" s="64"/>
      <c r="Q59" s="64"/>
      <c r="R59" s="64"/>
    </row>
    <row r="60" spans="1:18" ht="13.2">
      <c r="A60" s="1" t="s">
        <v>2</v>
      </c>
      <c r="B60" s="11"/>
      <c r="C60" s="1" t="s">
        <v>99</v>
      </c>
      <c r="D60" s="25">
        <v>3007758109</v>
      </c>
      <c r="E60" s="25">
        <f>D60*포괄손익계산서!E23/포괄손익계산서!D23</f>
        <v>2949975394.3562613</v>
      </c>
      <c r="F60" s="25">
        <f>E60*포괄손익계산서!F23/포괄손익계산서!E23</f>
        <v>3786835168.466435</v>
      </c>
      <c r="G60" s="38">
        <f>F60*포괄손익계산서!G23/포괄손익계산서!F23</f>
        <v>4768456287.5853519</v>
      </c>
      <c r="L60" s="41"/>
      <c r="M60" s="41"/>
      <c r="N60" s="41"/>
    </row>
    <row r="61" spans="1:18" ht="13.2">
      <c r="A61" s="1" t="s">
        <v>2</v>
      </c>
      <c r="B61" s="11"/>
      <c r="C61" s="34" t="s">
        <v>100</v>
      </c>
      <c r="D61" s="25">
        <v>376263580332</v>
      </c>
      <c r="E61" s="25">
        <f>D61*포괄손익계산서!E23/포괄손익계산서!D23</f>
        <v>369035096422.9718</v>
      </c>
      <c r="F61" s="25">
        <f>E61*포괄손익계산서!F23/포괄손익계산서!E23</f>
        <v>473724317906.68085</v>
      </c>
      <c r="G61" s="38">
        <f>F61*포괄손익계산서!G23/포괄손익계산서!F23</f>
        <v>596522848714.0625</v>
      </c>
      <c r="N61" s="41"/>
    </row>
    <row r="62" spans="1:18" ht="13.2">
      <c r="B62" s="8" t="s">
        <v>19</v>
      </c>
      <c r="C62" s="44"/>
      <c r="D62" s="45">
        <v>2633844801092</v>
      </c>
      <c r="E62" s="45">
        <f t="shared" ref="E62:G62" si="31">SUM(E63:E70)</f>
        <v>3070709077208.9541</v>
      </c>
      <c r="F62" s="45">
        <f t="shared" si="31"/>
        <v>3636641249411.7651</v>
      </c>
      <c r="G62" s="45">
        <f t="shared" si="31"/>
        <v>4309695976199.1074</v>
      </c>
      <c r="H62" s="1"/>
      <c r="I62" s="1" t="s">
        <v>101</v>
      </c>
      <c r="L62" s="41"/>
      <c r="M62" s="41"/>
      <c r="N62" s="41"/>
    </row>
    <row r="63" spans="1:18" ht="13.2">
      <c r="A63" s="1" t="s">
        <v>49</v>
      </c>
      <c r="B63" s="11"/>
      <c r="C63" s="54" t="s">
        <v>20</v>
      </c>
      <c r="D63" s="55">
        <v>2028126039778</v>
      </c>
      <c r="E63" s="55">
        <f t="shared" ref="E63:G63" si="32">D63*1.22</f>
        <v>2474313768529.1602</v>
      </c>
      <c r="F63" s="55">
        <f t="shared" si="32"/>
        <v>3018662797605.5752</v>
      </c>
      <c r="G63" s="65">
        <f t="shared" si="32"/>
        <v>3682768613078.8018</v>
      </c>
      <c r="L63" s="41"/>
      <c r="M63" s="41"/>
      <c r="N63" s="41"/>
    </row>
    <row r="64" spans="1:18" ht="13.2">
      <c r="A64" s="1" t="s">
        <v>2</v>
      </c>
      <c r="B64" s="11"/>
      <c r="C64" s="34" t="s">
        <v>102</v>
      </c>
      <c r="D64" s="66">
        <v>15320021342</v>
      </c>
      <c r="E64" s="66">
        <f>D64+FCFE!D4</f>
        <v>74499199085</v>
      </c>
      <c r="F64" s="66">
        <f>E64+FCFE!E4</f>
        <v>79685454035</v>
      </c>
      <c r="G64" s="66">
        <f>F64+FCFE!F4</f>
        <v>84871708985</v>
      </c>
      <c r="M64" s="41"/>
      <c r="N64" s="41"/>
    </row>
    <row r="65" spans="1:21" ht="13.2">
      <c r="A65" s="1" t="s">
        <v>44</v>
      </c>
      <c r="B65" s="11"/>
      <c r="C65" s="34" t="s">
        <v>103</v>
      </c>
      <c r="D65" s="67">
        <v>228230525516</v>
      </c>
      <c r="E65" s="25">
        <f t="shared" ref="E65:G65" si="33">D65*(1+0.067)</f>
        <v>243521970725.57199</v>
      </c>
      <c r="F65" s="25">
        <f t="shared" si="33"/>
        <v>259837942764.1853</v>
      </c>
      <c r="G65" s="38">
        <f t="shared" si="33"/>
        <v>277247084929.38568</v>
      </c>
      <c r="L65" s="41"/>
      <c r="M65" s="41"/>
      <c r="N65" s="41"/>
    </row>
    <row r="66" spans="1:21" ht="13.2">
      <c r="A66" s="1" t="s">
        <v>2</v>
      </c>
      <c r="B66" s="11"/>
      <c r="C66" s="34" t="s">
        <v>104</v>
      </c>
      <c r="D66" s="25">
        <v>187901658681</v>
      </c>
      <c r="E66" s="25">
        <f>39989000000*포괄손익계산서!E23/포괄손익계산서!D23+147913000000</f>
        <v>187133762365.14023</v>
      </c>
      <c r="F66" s="25">
        <f>39989000000*포괄손익계산서!F23/포괄손익계산서!E23+147913000000</f>
        <v>199246225301.3078</v>
      </c>
      <c r="G66" s="38">
        <f>39989000000*포괄손익계산서!G23/포괄손익계산서!F23+147913000000</f>
        <v>198267924363.25745</v>
      </c>
      <c r="H66" s="1"/>
      <c r="I66" s="1" t="s">
        <v>105</v>
      </c>
      <c r="J66" s="68" t="s">
        <v>106</v>
      </c>
      <c r="K66" s="68" t="s">
        <v>107</v>
      </c>
      <c r="L66" s="69" t="s">
        <v>108</v>
      </c>
      <c r="M66" s="41"/>
      <c r="N66" s="41"/>
    </row>
    <row r="67" spans="1:21" ht="13.2">
      <c r="A67" s="1" t="s">
        <v>49</v>
      </c>
      <c r="B67" s="11"/>
      <c r="C67" s="54" t="s">
        <v>109</v>
      </c>
      <c r="D67" s="67">
        <v>98270130554</v>
      </c>
      <c r="E67" s="25">
        <f>D67-J67</f>
        <v>67526130554</v>
      </c>
      <c r="F67" s="25">
        <f>E67-(K67/5)</f>
        <v>54151730554</v>
      </c>
      <c r="G67" s="38">
        <f>F67-(K67/5)</f>
        <v>40777330554</v>
      </c>
      <c r="H67" s="70"/>
      <c r="J67" s="1">
        <v>30744000000</v>
      </c>
      <c r="K67" s="1">
        <v>66872000000</v>
      </c>
      <c r="L67" s="41">
        <v>120442000000</v>
      </c>
      <c r="M67" s="41"/>
      <c r="N67" s="41"/>
    </row>
    <row r="68" spans="1:21" ht="13.2">
      <c r="A68" s="1" t="s">
        <v>2</v>
      </c>
      <c r="B68" s="11"/>
      <c r="C68" s="34" t="s">
        <v>110</v>
      </c>
      <c r="D68" s="25">
        <v>0</v>
      </c>
      <c r="E68" s="25">
        <v>0</v>
      </c>
      <c r="F68" s="25">
        <v>0</v>
      </c>
      <c r="G68" s="38">
        <v>0</v>
      </c>
      <c r="H68" s="70"/>
      <c r="L68" s="41"/>
      <c r="M68" s="41"/>
      <c r="N68" s="41"/>
      <c r="O68" s="1" t="s">
        <v>111</v>
      </c>
      <c r="Q68" s="47">
        <v>1231.57</v>
      </c>
    </row>
    <row r="69" spans="1:21" ht="14.25" customHeight="1">
      <c r="A69" s="1" t="s">
        <v>44</v>
      </c>
      <c r="B69" s="11"/>
      <c r="C69" s="1" t="s">
        <v>112</v>
      </c>
      <c r="D69" s="25">
        <v>53181890916</v>
      </c>
      <c r="E69" s="50">
        <v>0</v>
      </c>
      <c r="F69" s="50">
        <v>0</v>
      </c>
      <c r="G69" s="50">
        <v>0</v>
      </c>
      <c r="J69" s="71" t="s">
        <v>113</v>
      </c>
      <c r="L69" s="41"/>
      <c r="M69" s="41"/>
      <c r="O69" s="41" t="s">
        <v>114</v>
      </c>
      <c r="Q69" s="47">
        <v>1443.64</v>
      </c>
      <c r="S69" s="1" t="s">
        <v>115</v>
      </c>
      <c r="T69" s="47">
        <v>1409.24</v>
      </c>
    </row>
    <row r="70" spans="1:21" ht="13.2">
      <c r="A70" s="1" t="s">
        <v>2</v>
      </c>
      <c r="B70" s="11"/>
      <c r="C70" s="1" t="s">
        <v>116</v>
      </c>
      <c r="D70" s="25">
        <v>22814534305</v>
      </c>
      <c r="E70" s="25">
        <f t="shared" ref="E70:G70" si="34">D70*E44/D44</f>
        <v>23714245950.08186</v>
      </c>
      <c r="F70" s="25">
        <f t="shared" si="34"/>
        <v>25057099151.696575</v>
      </c>
      <c r="G70" s="38">
        <f t="shared" si="34"/>
        <v>25763314288.662724</v>
      </c>
      <c r="J70" s="72"/>
      <c r="L70" s="41"/>
      <c r="M70" s="41"/>
      <c r="O70" s="73" t="s">
        <v>117</v>
      </c>
      <c r="P70" s="64"/>
      <c r="Q70" s="73">
        <v>864660000</v>
      </c>
      <c r="S70" s="1" t="s">
        <v>118</v>
      </c>
      <c r="T70" s="41">
        <v>1500</v>
      </c>
      <c r="U70" s="1" t="s">
        <v>119</v>
      </c>
    </row>
    <row r="71" spans="1:21" ht="13.2">
      <c r="B71" s="18" t="s">
        <v>22</v>
      </c>
      <c r="C71" s="51"/>
      <c r="D71" s="52">
        <v>12980459270570</v>
      </c>
      <c r="E71" s="52">
        <f t="shared" ref="E71:G71" si="35">E51+E62</f>
        <v>12700992547564.004</v>
      </c>
      <c r="F71" s="52">
        <f t="shared" si="35"/>
        <v>15303651044422.082</v>
      </c>
      <c r="G71" s="52">
        <f t="shared" si="35"/>
        <v>19052716008753.961</v>
      </c>
      <c r="J71" s="1"/>
      <c r="L71" s="41"/>
      <c r="M71" s="41"/>
      <c r="O71" s="41" t="s">
        <v>120</v>
      </c>
      <c r="Q71" s="1">
        <f>(Q68-Q69)*Q70</f>
        <v>-183368446200.00015</v>
      </c>
      <c r="S71" s="1" t="s">
        <v>121</v>
      </c>
    </row>
    <row r="72" spans="1:21" ht="13.2">
      <c r="B72" s="11" t="s">
        <v>122</v>
      </c>
      <c r="C72" s="23"/>
      <c r="D72" s="25">
        <v>4858676068261</v>
      </c>
      <c r="E72" s="25">
        <f t="shared" ref="E72:G72" si="36">SUM(E73:E79)</f>
        <v>5228647838023.1211</v>
      </c>
      <c r="F72" s="25">
        <f t="shared" si="36"/>
        <v>7094294748400.002</v>
      </c>
      <c r="G72" s="25">
        <f t="shared" si="36"/>
        <v>10811946195396.496</v>
      </c>
      <c r="L72" s="41"/>
      <c r="M72" s="41"/>
      <c r="S72" s="1" t="s">
        <v>123</v>
      </c>
      <c r="T72" s="1">
        <v>0.3</v>
      </c>
    </row>
    <row r="73" spans="1:21" ht="15.75" customHeight="1">
      <c r="A73" s="1" t="s">
        <v>44</v>
      </c>
      <c r="B73" s="11"/>
      <c r="C73" s="1" t="s">
        <v>24</v>
      </c>
      <c r="D73" s="25">
        <v>1537066970000</v>
      </c>
      <c r="E73" s="25">
        <v>1537066970000</v>
      </c>
      <c r="F73" s="25">
        <v>1537066970000</v>
      </c>
      <c r="G73" s="38">
        <v>1537066970000</v>
      </c>
      <c r="J73" s="1" t="s">
        <v>124</v>
      </c>
      <c r="L73" s="41"/>
      <c r="M73" s="41"/>
      <c r="N73" s="41"/>
    </row>
    <row r="74" spans="1:21" ht="13.2">
      <c r="A74" s="1" t="s">
        <v>44</v>
      </c>
      <c r="B74" s="11"/>
      <c r="C74" s="1" t="s">
        <v>25</v>
      </c>
      <c r="D74" s="25">
        <v>118688521746</v>
      </c>
      <c r="E74" s="25">
        <v>118688521746</v>
      </c>
      <c r="F74" s="25">
        <v>118688521746</v>
      </c>
      <c r="G74" s="25">
        <v>118688521746</v>
      </c>
      <c r="J74" s="1" t="s">
        <v>125</v>
      </c>
      <c r="L74" s="41"/>
      <c r="M74" s="41"/>
      <c r="N74" s="41"/>
    </row>
    <row r="75" spans="1:21" ht="13.2">
      <c r="A75" s="1" t="s">
        <v>2</v>
      </c>
      <c r="B75" s="11"/>
      <c r="C75" s="1" t="s">
        <v>126</v>
      </c>
      <c r="D75" s="25">
        <v>6456534060</v>
      </c>
      <c r="E75" s="25">
        <f>D75+FCFE!D3</f>
        <v>43419617055</v>
      </c>
      <c r="F75" s="25">
        <f>E75+FCFE!E3</f>
        <v>48773899670</v>
      </c>
      <c r="G75" s="25">
        <f>F75+FCFE!F3</f>
        <v>54128182285</v>
      </c>
      <c r="L75" s="41"/>
      <c r="M75" s="41"/>
      <c r="N75" s="41"/>
    </row>
    <row r="76" spans="1:21" ht="15" customHeight="1">
      <c r="A76" s="1" t="s">
        <v>44</v>
      </c>
      <c r="B76" s="11"/>
      <c r="C76" s="1" t="s">
        <v>127</v>
      </c>
      <c r="D76" s="25">
        <v>2332832256181</v>
      </c>
      <c r="E76" s="25">
        <v>2332832256181</v>
      </c>
      <c r="F76" s="25">
        <v>2332832256181</v>
      </c>
      <c r="G76" s="38">
        <v>2332832256181</v>
      </c>
      <c r="J76" s="1" t="s">
        <v>128</v>
      </c>
      <c r="N76" s="41"/>
    </row>
    <row r="77" spans="1:21" ht="14.25" customHeight="1">
      <c r="A77" s="1" t="s">
        <v>44</v>
      </c>
      <c r="B77" s="11"/>
      <c r="C77" s="1" t="s">
        <v>129</v>
      </c>
      <c r="D77" s="25">
        <v>627183507282</v>
      </c>
      <c r="E77" s="25">
        <v>627183507282</v>
      </c>
      <c r="F77" s="25">
        <v>627183507282</v>
      </c>
      <c r="G77" s="38">
        <v>627183507282</v>
      </c>
      <c r="J77" s="1" t="s">
        <v>130</v>
      </c>
      <c r="L77" s="41"/>
      <c r="M77" s="41"/>
      <c r="N77" s="41"/>
    </row>
    <row r="78" spans="1:21" ht="13.2">
      <c r="A78" s="1" t="s">
        <v>2</v>
      </c>
      <c r="B78" s="11"/>
      <c r="C78" s="1" t="s">
        <v>131</v>
      </c>
      <c r="D78" s="25">
        <v>236448278992</v>
      </c>
      <c r="E78" s="25">
        <f>D78+포괄손익계산서!E36</f>
        <v>564794113609.21729</v>
      </c>
      <c r="F78" s="25">
        <f>E78+포괄손익계산서!F36</f>
        <v>2425097711685.1934</v>
      </c>
      <c r="G78" s="25">
        <f>F78+포괄손익계산서!G36</f>
        <v>6137405846380.7832</v>
      </c>
      <c r="L78" s="41"/>
      <c r="M78" s="41"/>
      <c r="N78" s="41"/>
    </row>
    <row r="79" spans="1:21" ht="13.2">
      <c r="B79" s="11" t="s">
        <v>132</v>
      </c>
      <c r="C79" s="23"/>
      <c r="D79" s="25">
        <v>4673822464</v>
      </c>
      <c r="E79" s="25">
        <f t="shared" ref="E79:G79" si="37">D79+0.0149*$M81</f>
        <v>4662852149.9041004</v>
      </c>
      <c r="F79" s="25">
        <f t="shared" si="37"/>
        <v>4651881835.8082008</v>
      </c>
      <c r="G79" s="25">
        <f t="shared" si="37"/>
        <v>4640911521.7123013</v>
      </c>
      <c r="L79" s="41"/>
      <c r="M79" s="41"/>
      <c r="N79" s="41"/>
    </row>
    <row r="80" spans="1:21" ht="13.2">
      <c r="B80" s="18" t="s">
        <v>28</v>
      </c>
      <c r="C80" s="51"/>
      <c r="D80" s="52">
        <v>4863349890725</v>
      </c>
      <c r="E80" s="52">
        <f t="shared" ref="E80:G80" si="38">E72+E79</f>
        <v>5233310690173.0254</v>
      </c>
      <c r="F80" s="52">
        <f t="shared" si="38"/>
        <v>7098946630235.8105</v>
      </c>
      <c r="G80" s="52">
        <f t="shared" si="38"/>
        <v>10816587106918.209</v>
      </c>
      <c r="I80" s="1" t="s">
        <v>133</v>
      </c>
      <c r="J80" s="1">
        <v>2024</v>
      </c>
      <c r="K80" s="1">
        <v>2023</v>
      </c>
      <c r="L80" s="1">
        <v>2022</v>
      </c>
      <c r="M80" s="1" t="s">
        <v>134</v>
      </c>
    </row>
    <row r="81" spans="2:15" ht="13.2">
      <c r="B81" s="74" t="s">
        <v>135</v>
      </c>
      <c r="C81" s="75"/>
      <c r="D81" s="76">
        <v>17843809161295</v>
      </c>
      <c r="E81" s="76">
        <f t="shared" ref="E81:G81" si="39">E71+E80</f>
        <v>17934303237737.031</v>
      </c>
      <c r="F81" s="76">
        <f t="shared" si="39"/>
        <v>22402597674657.891</v>
      </c>
      <c r="G81" s="76">
        <f t="shared" si="39"/>
        <v>29869303115672.172</v>
      </c>
      <c r="I81" s="1" t="s">
        <v>136</v>
      </c>
      <c r="J81" s="39">
        <v>5876530897</v>
      </c>
      <c r="K81" s="39">
        <v>-27759642</v>
      </c>
      <c r="L81" s="39">
        <v>-8057559328</v>
      </c>
      <c r="M81" s="39">
        <f t="shared" ref="M81:M82" si="40">AVERAGE(J81:L81)</f>
        <v>-736262691</v>
      </c>
      <c r="N81" s="39"/>
      <c r="O81" s="39"/>
    </row>
    <row r="82" spans="2:15" ht="13.2">
      <c r="C82" s="2"/>
      <c r="D82" s="3"/>
      <c r="E82" s="3"/>
      <c r="F82" s="3"/>
      <c r="G82" s="3"/>
      <c r="I82" s="1" t="s">
        <v>137</v>
      </c>
      <c r="J82" s="39">
        <v>7081271932</v>
      </c>
      <c r="K82" s="39">
        <v>74544076</v>
      </c>
      <c r="L82" s="39">
        <v>-10237018361</v>
      </c>
      <c r="M82" s="39">
        <f t="shared" si="40"/>
        <v>-1027067451</v>
      </c>
      <c r="N82" s="41"/>
    </row>
    <row r="83" spans="2:15" ht="13.2">
      <c r="C83" s="2"/>
      <c r="D83" s="3"/>
      <c r="E83" s="3"/>
      <c r="F83" s="3"/>
      <c r="G83" s="3"/>
      <c r="L83" s="41"/>
      <c r="M83" s="41"/>
      <c r="N83" s="41"/>
    </row>
    <row r="84" spans="2:15" ht="13.2">
      <c r="C84" s="2"/>
      <c r="D84" s="3"/>
      <c r="E84" s="3"/>
      <c r="F84" s="3"/>
      <c r="G84" s="3"/>
      <c r="L84" s="41"/>
      <c r="M84" s="41"/>
      <c r="N84" s="41"/>
    </row>
    <row r="85" spans="2:15" ht="13.2">
      <c r="C85" s="2"/>
      <c r="D85" s="3"/>
      <c r="E85" s="3"/>
      <c r="F85" s="3"/>
      <c r="G85" s="3"/>
      <c r="L85" s="41"/>
      <c r="M85" s="41"/>
      <c r="N85" s="41"/>
    </row>
    <row r="86" spans="2:15" ht="13.2">
      <c r="C86" s="2"/>
      <c r="D86" s="3"/>
      <c r="E86" s="3"/>
      <c r="F86" s="3"/>
      <c r="G86" s="3"/>
      <c r="L86" s="41"/>
      <c r="M86" s="41"/>
      <c r="N86" s="41"/>
    </row>
    <row r="87" spans="2:15" ht="13.2">
      <c r="C87" s="2"/>
      <c r="D87" s="3"/>
      <c r="E87" s="3"/>
      <c r="F87" s="3"/>
      <c r="G87" s="3"/>
      <c r="L87" s="41"/>
      <c r="M87" s="41"/>
      <c r="N87" s="41"/>
    </row>
    <row r="88" spans="2:15" ht="13.2">
      <c r="C88" s="2"/>
      <c r="D88" s="3"/>
      <c r="E88" s="3"/>
      <c r="F88" s="3"/>
      <c r="G88" s="3"/>
      <c r="L88" s="41"/>
      <c r="M88" s="41"/>
    </row>
    <row r="89" spans="2:15" ht="13.2">
      <c r="C89" s="2"/>
      <c r="D89" s="3"/>
      <c r="E89" s="3"/>
      <c r="F89" s="3"/>
      <c r="G89" s="3"/>
      <c r="L89" s="41"/>
      <c r="M89" s="41"/>
      <c r="N89" s="41"/>
    </row>
    <row r="90" spans="2:15" ht="13.2">
      <c r="C90" s="2"/>
      <c r="D90" s="3"/>
      <c r="E90" s="3"/>
      <c r="F90" s="3"/>
      <c r="G90" s="3"/>
      <c r="L90" s="41"/>
      <c r="M90" s="41"/>
      <c r="N90" s="41"/>
    </row>
    <row r="91" spans="2:15" ht="13.2">
      <c r="C91" s="2"/>
      <c r="D91" s="3"/>
      <c r="E91" s="3"/>
      <c r="F91" s="3"/>
      <c r="G91" s="3"/>
      <c r="H91" s="41"/>
      <c r="I91" s="41"/>
    </row>
    <row r="92" spans="2:15" ht="13.2">
      <c r="C92" s="2"/>
      <c r="D92" s="3"/>
      <c r="E92" s="3"/>
      <c r="F92" s="3"/>
      <c r="G92" s="3"/>
    </row>
    <row r="93" spans="2:15" ht="13.2">
      <c r="C93" s="2"/>
      <c r="D93" s="3"/>
      <c r="E93" s="3"/>
      <c r="F93" s="3"/>
      <c r="G93" s="3"/>
    </row>
    <row r="94" spans="2:15" ht="13.2">
      <c r="C94" s="2"/>
      <c r="D94" s="3"/>
      <c r="E94" s="3"/>
      <c r="F94" s="3"/>
      <c r="G94" s="3"/>
    </row>
    <row r="95" spans="2:15" ht="13.2">
      <c r="C95" s="2"/>
      <c r="D95" s="3"/>
      <c r="E95" s="3"/>
      <c r="F95" s="3"/>
      <c r="G95" s="3"/>
    </row>
    <row r="96" spans="2:15" ht="13.2">
      <c r="C96" s="2"/>
      <c r="D96" s="3"/>
      <c r="E96" s="3"/>
      <c r="F96" s="3"/>
      <c r="G96" s="3"/>
    </row>
    <row r="97" spans="3:7" ht="13.2">
      <c r="C97" s="2"/>
      <c r="D97" s="3"/>
      <c r="E97" s="3"/>
      <c r="F97" s="3"/>
      <c r="G97" s="3"/>
    </row>
    <row r="98" spans="3:7" ht="13.2">
      <c r="C98" s="2"/>
      <c r="D98" s="3"/>
      <c r="E98" s="3"/>
      <c r="F98" s="3"/>
      <c r="G98" s="3"/>
    </row>
    <row r="99" spans="3:7" ht="13.2">
      <c r="C99" s="2"/>
      <c r="D99" s="3"/>
      <c r="E99" s="3"/>
      <c r="F99" s="3"/>
      <c r="G99" s="3"/>
    </row>
    <row r="100" spans="3:7" ht="13.2">
      <c r="C100" s="2"/>
      <c r="D100" s="3"/>
      <c r="E100" s="3"/>
      <c r="F100" s="3"/>
      <c r="G100" s="3"/>
    </row>
    <row r="101" spans="3:7" ht="13.2">
      <c r="C101" s="2"/>
      <c r="D101" s="3"/>
      <c r="E101" s="3"/>
      <c r="F101" s="3"/>
      <c r="G101" s="3"/>
    </row>
    <row r="102" spans="3:7" ht="13.2">
      <c r="C102" s="2"/>
      <c r="D102" s="3"/>
      <c r="E102" s="3"/>
      <c r="F102" s="3"/>
      <c r="G102" s="3"/>
    </row>
    <row r="103" spans="3:7" ht="13.2">
      <c r="C103" s="2"/>
      <c r="D103" s="3"/>
      <c r="E103" s="3"/>
      <c r="F103" s="3"/>
      <c r="G103" s="3"/>
    </row>
    <row r="104" spans="3:7" ht="13.2">
      <c r="C104" s="2"/>
      <c r="D104" s="3"/>
      <c r="E104" s="3"/>
      <c r="F104" s="3"/>
      <c r="G104" s="3"/>
    </row>
    <row r="105" spans="3:7" ht="13.2">
      <c r="C105" s="2"/>
      <c r="D105" s="3"/>
      <c r="E105" s="3"/>
      <c r="F105" s="3"/>
      <c r="G105" s="3"/>
    </row>
    <row r="106" spans="3:7" ht="13.2">
      <c r="C106" s="2"/>
      <c r="D106" s="3"/>
      <c r="E106" s="3"/>
      <c r="F106" s="3"/>
      <c r="G106" s="3"/>
    </row>
    <row r="107" spans="3:7" ht="13.2">
      <c r="C107" s="2"/>
      <c r="D107" s="3"/>
      <c r="E107" s="3"/>
      <c r="F107" s="3"/>
      <c r="G107" s="3"/>
    </row>
    <row r="108" spans="3:7" ht="13.2">
      <c r="C108" s="2"/>
      <c r="D108" s="3"/>
      <c r="E108" s="3"/>
      <c r="F108" s="3"/>
      <c r="G108" s="3"/>
    </row>
    <row r="109" spans="3:7" ht="13.2">
      <c r="C109" s="2"/>
      <c r="D109" s="3"/>
      <c r="E109" s="3"/>
      <c r="F109" s="3"/>
      <c r="G109" s="3"/>
    </row>
    <row r="110" spans="3:7" ht="13.2">
      <c r="C110" s="2"/>
      <c r="D110" s="3"/>
      <c r="E110" s="3"/>
      <c r="F110" s="3"/>
      <c r="G110" s="3"/>
    </row>
    <row r="111" spans="3:7" ht="13.2">
      <c r="C111" s="2"/>
      <c r="D111" s="3"/>
      <c r="E111" s="3"/>
      <c r="F111" s="3"/>
      <c r="G111" s="3"/>
    </row>
    <row r="112" spans="3:7" ht="13.2">
      <c r="C112" s="2"/>
      <c r="D112" s="3"/>
      <c r="E112" s="3"/>
      <c r="F112" s="3"/>
      <c r="G112" s="3"/>
    </row>
    <row r="113" spans="3:7" ht="13.2">
      <c r="C113" s="2"/>
      <c r="D113" s="3"/>
      <c r="E113" s="3"/>
      <c r="F113" s="3"/>
      <c r="G113" s="3"/>
    </row>
    <row r="114" spans="3:7" ht="13.2">
      <c r="C114" s="2"/>
      <c r="D114" s="3"/>
      <c r="E114" s="3"/>
      <c r="F114" s="3"/>
      <c r="G114" s="3"/>
    </row>
    <row r="115" spans="3:7" ht="13.2">
      <c r="C115" s="2"/>
      <c r="D115" s="3"/>
      <c r="E115" s="3"/>
      <c r="F115" s="3"/>
      <c r="G115" s="3"/>
    </row>
    <row r="116" spans="3:7" ht="13.2">
      <c r="C116" s="2"/>
      <c r="D116" s="3"/>
      <c r="E116" s="3"/>
      <c r="F116" s="3"/>
      <c r="G116" s="3"/>
    </row>
    <row r="117" spans="3:7" ht="13.2">
      <c r="C117" s="2"/>
      <c r="D117" s="3"/>
      <c r="E117" s="3"/>
      <c r="F117" s="3"/>
      <c r="G117" s="3"/>
    </row>
    <row r="118" spans="3:7" ht="13.2">
      <c r="C118" s="2"/>
      <c r="D118" s="3"/>
      <c r="E118" s="3"/>
      <c r="F118" s="3"/>
      <c r="G118" s="3"/>
    </row>
    <row r="119" spans="3:7" ht="13.2">
      <c r="C119" s="2"/>
      <c r="D119" s="3"/>
      <c r="E119" s="3"/>
      <c r="F119" s="3"/>
      <c r="G119" s="3"/>
    </row>
    <row r="120" spans="3:7" ht="13.2">
      <c r="C120" s="2"/>
      <c r="D120" s="3"/>
      <c r="E120" s="3"/>
      <c r="F120" s="3"/>
      <c r="G120" s="3"/>
    </row>
    <row r="121" spans="3:7" ht="13.2">
      <c r="C121" s="2"/>
      <c r="D121" s="3"/>
      <c r="E121" s="3"/>
      <c r="F121" s="3"/>
      <c r="G121" s="3"/>
    </row>
    <row r="122" spans="3:7" ht="13.2">
      <c r="C122" s="2"/>
      <c r="D122" s="3"/>
      <c r="E122" s="3"/>
      <c r="F122" s="3"/>
      <c r="G122" s="3"/>
    </row>
    <row r="123" spans="3:7" ht="13.2">
      <c r="C123" s="2"/>
      <c r="D123" s="3"/>
      <c r="E123" s="3"/>
      <c r="F123" s="3"/>
      <c r="G123" s="3"/>
    </row>
    <row r="124" spans="3:7" ht="13.2">
      <c r="C124" s="2"/>
      <c r="D124" s="3"/>
      <c r="E124" s="3"/>
      <c r="F124" s="3"/>
      <c r="G124" s="3"/>
    </row>
    <row r="125" spans="3:7" ht="13.2">
      <c r="C125" s="2"/>
      <c r="D125" s="3"/>
      <c r="E125" s="3"/>
      <c r="F125" s="3"/>
      <c r="G125" s="3"/>
    </row>
    <row r="126" spans="3:7" ht="13.2">
      <c r="C126" s="2"/>
      <c r="D126" s="3"/>
      <c r="E126" s="3"/>
      <c r="F126" s="3"/>
      <c r="G126" s="3"/>
    </row>
    <row r="127" spans="3:7" ht="13.2">
      <c r="C127" s="2"/>
      <c r="D127" s="3"/>
      <c r="E127" s="3"/>
      <c r="F127" s="3"/>
      <c r="G127" s="3"/>
    </row>
    <row r="128" spans="3:7" ht="13.2">
      <c r="C128" s="2"/>
      <c r="D128" s="3"/>
      <c r="E128" s="3"/>
      <c r="F128" s="3"/>
      <c r="G128" s="3"/>
    </row>
    <row r="129" spans="3:7" ht="13.2">
      <c r="C129" s="2"/>
      <c r="D129" s="3"/>
      <c r="E129" s="3"/>
      <c r="F129" s="3"/>
      <c r="G129" s="3"/>
    </row>
    <row r="130" spans="3:7" ht="13.2">
      <c r="C130" s="2"/>
      <c r="D130" s="3"/>
      <c r="E130" s="3"/>
      <c r="F130" s="3"/>
      <c r="G130" s="3"/>
    </row>
    <row r="131" spans="3:7" ht="13.2">
      <c r="C131" s="2"/>
      <c r="D131" s="3"/>
      <c r="E131" s="3"/>
      <c r="F131" s="3"/>
      <c r="G131" s="3"/>
    </row>
    <row r="132" spans="3:7" ht="13.2">
      <c r="C132" s="2"/>
      <c r="D132" s="3"/>
      <c r="E132" s="3"/>
      <c r="F132" s="3"/>
      <c r="G132" s="3"/>
    </row>
    <row r="133" spans="3:7" ht="13.2">
      <c r="C133" s="2"/>
      <c r="D133" s="3"/>
      <c r="E133" s="3"/>
      <c r="F133" s="3"/>
      <c r="G133" s="3"/>
    </row>
    <row r="134" spans="3:7" ht="13.2">
      <c r="C134" s="2"/>
      <c r="D134" s="3"/>
      <c r="E134" s="3"/>
      <c r="F134" s="3"/>
      <c r="G134" s="3"/>
    </row>
    <row r="135" spans="3:7" ht="13.2">
      <c r="C135" s="2"/>
      <c r="D135" s="3"/>
      <c r="E135" s="3"/>
      <c r="F135" s="3"/>
      <c r="G135" s="3"/>
    </row>
    <row r="136" spans="3:7" ht="13.2">
      <c r="C136" s="2"/>
      <c r="D136" s="3"/>
      <c r="E136" s="3"/>
      <c r="F136" s="3"/>
      <c r="G136" s="3"/>
    </row>
    <row r="137" spans="3:7" ht="13.2">
      <c r="C137" s="2"/>
      <c r="D137" s="3"/>
      <c r="E137" s="3"/>
      <c r="F137" s="3"/>
      <c r="G137" s="3"/>
    </row>
    <row r="138" spans="3:7" ht="13.2">
      <c r="C138" s="2"/>
      <c r="D138" s="3"/>
      <c r="E138" s="3"/>
      <c r="F138" s="3"/>
      <c r="G138" s="3"/>
    </row>
    <row r="139" spans="3:7" ht="13.2">
      <c r="C139" s="2"/>
      <c r="D139" s="3"/>
      <c r="E139" s="3"/>
      <c r="F139" s="3"/>
      <c r="G139" s="3"/>
    </row>
    <row r="140" spans="3:7" ht="13.2">
      <c r="C140" s="2"/>
      <c r="D140" s="3"/>
      <c r="E140" s="3"/>
      <c r="F140" s="3"/>
      <c r="G140" s="3"/>
    </row>
    <row r="141" spans="3:7" ht="13.2">
      <c r="C141" s="2"/>
      <c r="D141" s="3"/>
      <c r="E141" s="3"/>
      <c r="F141" s="3"/>
      <c r="G141" s="3"/>
    </row>
    <row r="142" spans="3:7" ht="13.2">
      <c r="C142" s="2"/>
      <c r="D142" s="3"/>
      <c r="E142" s="3"/>
      <c r="F142" s="3"/>
      <c r="G142" s="3"/>
    </row>
    <row r="143" spans="3:7" ht="13.2">
      <c r="C143" s="2"/>
      <c r="D143" s="3"/>
      <c r="E143" s="3"/>
      <c r="F143" s="3"/>
      <c r="G143" s="3"/>
    </row>
    <row r="144" spans="3:7" ht="13.2">
      <c r="C144" s="2"/>
      <c r="D144" s="3"/>
      <c r="E144" s="3"/>
      <c r="F144" s="3"/>
      <c r="G144" s="3"/>
    </row>
    <row r="145" spans="3:7" ht="13.2">
      <c r="C145" s="2"/>
      <c r="D145" s="3"/>
      <c r="E145" s="3"/>
      <c r="F145" s="3"/>
      <c r="G145" s="3"/>
    </row>
    <row r="146" spans="3:7" ht="13.2">
      <c r="C146" s="2"/>
      <c r="D146" s="3"/>
      <c r="E146" s="3"/>
      <c r="F146" s="3"/>
      <c r="G146" s="3"/>
    </row>
    <row r="147" spans="3:7" ht="13.2">
      <c r="C147" s="2"/>
      <c r="D147" s="3"/>
      <c r="E147" s="3"/>
      <c r="F147" s="3"/>
      <c r="G147" s="3"/>
    </row>
    <row r="148" spans="3:7" ht="13.2">
      <c r="C148" s="2"/>
      <c r="D148" s="3"/>
      <c r="E148" s="3"/>
      <c r="F148" s="3"/>
      <c r="G148" s="3"/>
    </row>
    <row r="149" spans="3:7" ht="13.2">
      <c r="C149" s="2"/>
      <c r="D149" s="3"/>
      <c r="E149" s="3"/>
      <c r="F149" s="3"/>
      <c r="G149" s="3"/>
    </row>
    <row r="150" spans="3:7" ht="13.2">
      <c r="C150" s="2"/>
      <c r="D150" s="3"/>
      <c r="E150" s="3"/>
      <c r="F150" s="3"/>
      <c r="G150" s="3"/>
    </row>
    <row r="151" spans="3:7" ht="13.2">
      <c r="C151" s="2"/>
      <c r="D151" s="3"/>
      <c r="E151" s="3"/>
      <c r="F151" s="3"/>
      <c r="G151" s="3"/>
    </row>
    <row r="152" spans="3:7" ht="13.2">
      <c r="C152" s="2"/>
      <c r="D152" s="3"/>
      <c r="E152" s="3"/>
      <c r="F152" s="3"/>
      <c r="G152" s="3"/>
    </row>
    <row r="153" spans="3:7" ht="13.2">
      <c r="C153" s="2"/>
      <c r="D153" s="3"/>
      <c r="E153" s="3"/>
      <c r="F153" s="3"/>
      <c r="G153" s="3"/>
    </row>
    <row r="154" spans="3:7" ht="13.2">
      <c r="C154" s="2"/>
      <c r="D154" s="3"/>
      <c r="E154" s="3"/>
      <c r="F154" s="3"/>
      <c r="G154" s="3"/>
    </row>
    <row r="155" spans="3:7" ht="13.2">
      <c r="C155" s="2"/>
      <c r="D155" s="3"/>
      <c r="E155" s="3"/>
      <c r="F155" s="3"/>
      <c r="G155" s="3"/>
    </row>
    <row r="156" spans="3:7" ht="13.2">
      <c r="C156" s="2"/>
      <c r="D156" s="3"/>
      <c r="E156" s="3"/>
      <c r="F156" s="3"/>
      <c r="G156" s="3"/>
    </row>
    <row r="157" spans="3:7" ht="13.2">
      <c r="C157" s="2"/>
      <c r="D157" s="3"/>
      <c r="E157" s="3"/>
      <c r="F157" s="3"/>
      <c r="G157" s="3"/>
    </row>
    <row r="158" spans="3:7" ht="13.2">
      <c r="C158" s="2"/>
      <c r="D158" s="3"/>
      <c r="E158" s="3"/>
      <c r="F158" s="3"/>
      <c r="G158" s="3"/>
    </row>
    <row r="159" spans="3:7" ht="13.2">
      <c r="C159" s="2"/>
      <c r="D159" s="3"/>
      <c r="E159" s="3"/>
      <c r="F159" s="3"/>
      <c r="G159" s="3"/>
    </row>
    <row r="160" spans="3:7" ht="13.2">
      <c r="C160" s="2"/>
      <c r="D160" s="3"/>
      <c r="E160" s="3"/>
      <c r="F160" s="3"/>
      <c r="G160" s="3"/>
    </row>
    <row r="161" spans="3:7" ht="13.2">
      <c r="C161" s="2"/>
      <c r="D161" s="3"/>
      <c r="E161" s="3"/>
      <c r="F161" s="3"/>
      <c r="G161" s="3"/>
    </row>
    <row r="162" spans="3:7" ht="13.2">
      <c r="C162" s="2"/>
      <c r="D162" s="3"/>
      <c r="E162" s="3"/>
      <c r="F162" s="3"/>
      <c r="G162" s="3"/>
    </row>
    <row r="163" spans="3:7" ht="13.2">
      <c r="C163" s="2"/>
      <c r="D163" s="3"/>
      <c r="E163" s="3"/>
      <c r="F163" s="3"/>
      <c r="G163" s="3"/>
    </row>
    <row r="164" spans="3:7" ht="13.2">
      <c r="C164" s="2"/>
      <c r="D164" s="3"/>
      <c r="E164" s="3"/>
      <c r="F164" s="3"/>
      <c r="G164" s="3"/>
    </row>
    <row r="165" spans="3:7" ht="13.2">
      <c r="C165" s="2"/>
      <c r="D165" s="3"/>
      <c r="E165" s="3"/>
      <c r="F165" s="3"/>
      <c r="G165" s="3"/>
    </row>
    <row r="166" spans="3:7" ht="13.2">
      <c r="C166" s="2"/>
      <c r="D166" s="3"/>
      <c r="E166" s="3"/>
      <c r="F166" s="3"/>
      <c r="G166" s="3"/>
    </row>
    <row r="167" spans="3:7" ht="13.2">
      <c r="C167" s="2"/>
      <c r="D167" s="3"/>
      <c r="E167" s="3"/>
      <c r="F167" s="3"/>
      <c r="G167" s="3"/>
    </row>
    <row r="168" spans="3:7" ht="13.2">
      <c r="C168" s="2"/>
      <c r="D168" s="3"/>
      <c r="E168" s="3"/>
      <c r="F168" s="3"/>
      <c r="G168" s="3"/>
    </row>
    <row r="169" spans="3:7" ht="13.2">
      <c r="C169" s="2"/>
      <c r="D169" s="3"/>
      <c r="E169" s="3"/>
      <c r="F169" s="3"/>
      <c r="G169" s="3"/>
    </row>
    <row r="170" spans="3:7" ht="13.2">
      <c r="C170" s="2"/>
      <c r="D170" s="3"/>
      <c r="E170" s="3"/>
      <c r="F170" s="3"/>
      <c r="G170" s="3"/>
    </row>
    <row r="171" spans="3:7" ht="13.2">
      <c r="C171" s="2"/>
      <c r="D171" s="3"/>
      <c r="E171" s="3"/>
      <c r="F171" s="3"/>
      <c r="G171" s="3"/>
    </row>
    <row r="172" spans="3:7" ht="13.2">
      <c r="C172" s="2"/>
      <c r="D172" s="3"/>
      <c r="E172" s="3"/>
      <c r="F172" s="3"/>
      <c r="G172" s="3"/>
    </row>
    <row r="173" spans="3:7" ht="13.2">
      <c r="C173" s="2"/>
      <c r="D173" s="3"/>
      <c r="E173" s="3"/>
      <c r="F173" s="3"/>
      <c r="G173" s="3"/>
    </row>
    <row r="174" spans="3:7" ht="13.2">
      <c r="C174" s="2"/>
      <c r="D174" s="3"/>
      <c r="E174" s="3"/>
      <c r="F174" s="3"/>
      <c r="G174" s="3"/>
    </row>
    <row r="175" spans="3:7" ht="13.2">
      <c r="C175" s="2"/>
      <c r="D175" s="3"/>
      <c r="E175" s="3"/>
      <c r="F175" s="3"/>
      <c r="G175" s="3"/>
    </row>
    <row r="176" spans="3:7" ht="13.2">
      <c r="C176" s="2"/>
      <c r="D176" s="3"/>
      <c r="E176" s="3"/>
      <c r="F176" s="3"/>
      <c r="G176" s="3"/>
    </row>
    <row r="177" spans="3:7" ht="13.2">
      <c r="C177" s="2"/>
      <c r="D177" s="3"/>
      <c r="E177" s="3"/>
      <c r="F177" s="3"/>
      <c r="G177" s="3"/>
    </row>
    <row r="178" spans="3:7" ht="13.2">
      <c r="C178" s="2"/>
      <c r="D178" s="3"/>
      <c r="E178" s="3"/>
      <c r="F178" s="3"/>
      <c r="G178" s="3"/>
    </row>
    <row r="179" spans="3:7" ht="13.2">
      <c r="C179" s="2"/>
      <c r="D179" s="3"/>
      <c r="E179" s="3"/>
      <c r="F179" s="3"/>
      <c r="G179" s="3"/>
    </row>
    <row r="180" spans="3:7" ht="13.2">
      <c r="C180" s="2"/>
      <c r="D180" s="3"/>
      <c r="E180" s="3"/>
      <c r="F180" s="3"/>
      <c r="G180" s="3"/>
    </row>
    <row r="181" spans="3:7" ht="13.2">
      <c r="C181" s="2"/>
      <c r="D181" s="3"/>
      <c r="E181" s="3"/>
      <c r="F181" s="3"/>
      <c r="G181" s="3"/>
    </row>
    <row r="182" spans="3:7" ht="13.2">
      <c r="C182" s="2"/>
      <c r="D182" s="3"/>
      <c r="E182" s="3"/>
      <c r="F182" s="3"/>
      <c r="G182" s="3"/>
    </row>
    <row r="183" spans="3:7" ht="13.2">
      <c r="C183" s="2"/>
      <c r="D183" s="3"/>
      <c r="E183" s="3"/>
      <c r="F183" s="3"/>
      <c r="G183" s="3"/>
    </row>
    <row r="184" spans="3:7" ht="13.2">
      <c r="C184" s="2"/>
      <c r="D184" s="3"/>
      <c r="E184" s="3"/>
      <c r="F184" s="3"/>
      <c r="G184" s="3"/>
    </row>
    <row r="185" spans="3:7" ht="13.2">
      <c r="C185" s="2"/>
      <c r="D185" s="3"/>
      <c r="E185" s="3"/>
      <c r="F185" s="3"/>
      <c r="G185" s="3"/>
    </row>
    <row r="186" spans="3:7" ht="13.2">
      <c r="C186" s="2"/>
      <c r="D186" s="3"/>
      <c r="E186" s="3"/>
      <c r="F186" s="3"/>
      <c r="G186" s="3"/>
    </row>
    <row r="187" spans="3:7" ht="13.2">
      <c r="C187" s="2"/>
      <c r="D187" s="3"/>
      <c r="E187" s="3"/>
      <c r="F187" s="3"/>
      <c r="G187" s="3"/>
    </row>
    <row r="188" spans="3:7" ht="13.2">
      <c r="C188" s="2"/>
      <c r="D188" s="3"/>
      <c r="E188" s="3"/>
      <c r="F188" s="3"/>
      <c r="G188" s="3"/>
    </row>
    <row r="189" spans="3:7" ht="13.2">
      <c r="C189" s="2"/>
      <c r="D189" s="3"/>
      <c r="E189" s="3"/>
      <c r="F189" s="3"/>
      <c r="G189" s="3"/>
    </row>
    <row r="190" spans="3:7" ht="13.2">
      <c r="C190" s="2"/>
      <c r="D190" s="3"/>
      <c r="E190" s="3"/>
      <c r="F190" s="3"/>
      <c r="G190" s="3"/>
    </row>
    <row r="191" spans="3:7" ht="13.2">
      <c r="C191" s="2"/>
      <c r="D191" s="3"/>
      <c r="E191" s="3"/>
      <c r="F191" s="3"/>
      <c r="G191" s="3"/>
    </row>
    <row r="192" spans="3:7" ht="13.2">
      <c r="C192" s="2"/>
      <c r="D192" s="3"/>
      <c r="E192" s="3"/>
      <c r="F192" s="3"/>
      <c r="G192" s="3"/>
    </row>
    <row r="193" spans="3:7" ht="13.2">
      <c r="C193" s="2"/>
      <c r="D193" s="3"/>
      <c r="E193" s="3"/>
      <c r="F193" s="3"/>
      <c r="G193" s="3"/>
    </row>
    <row r="194" spans="3:7" ht="13.2">
      <c r="C194" s="2"/>
      <c r="D194" s="3"/>
      <c r="E194" s="3"/>
      <c r="F194" s="3"/>
      <c r="G194" s="3"/>
    </row>
    <row r="195" spans="3:7" ht="13.2">
      <c r="C195" s="2"/>
      <c r="D195" s="3"/>
      <c r="E195" s="3"/>
      <c r="F195" s="3"/>
      <c r="G195" s="3"/>
    </row>
    <row r="196" spans="3:7" ht="13.2">
      <c r="C196" s="2"/>
      <c r="D196" s="3"/>
      <c r="E196" s="3"/>
      <c r="F196" s="3"/>
      <c r="G196" s="3"/>
    </row>
    <row r="197" spans="3:7" ht="13.2">
      <c r="C197" s="2"/>
      <c r="D197" s="3"/>
      <c r="E197" s="3"/>
      <c r="F197" s="3"/>
      <c r="G197" s="3"/>
    </row>
    <row r="198" spans="3:7" ht="13.2">
      <c r="C198" s="2"/>
      <c r="D198" s="3"/>
      <c r="E198" s="3"/>
      <c r="F198" s="3"/>
      <c r="G198" s="3"/>
    </row>
    <row r="199" spans="3:7" ht="13.2">
      <c r="C199" s="2"/>
      <c r="D199" s="3"/>
      <c r="E199" s="3"/>
      <c r="F199" s="3"/>
      <c r="G199" s="3"/>
    </row>
    <row r="200" spans="3:7" ht="13.2">
      <c r="C200" s="2"/>
      <c r="D200" s="3"/>
      <c r="E200" s="3"/>
      <c r="F200" s="3"/>
      <c r="G200" s="3"/>
    </row>
    <row r="201" spans="3:7" ht="13.2">
      <c r="C201" s="2"/>
      <c r="D201" s="3"/>
      <c r="E201" s="3"/>
      <c r="F201" s="3"/>
      <c r="G201" s="3"/>
    </row>
    <row r="202" spans="3:7" ht="13.2">
      <c r="C202" s="2"/>
      <c r="D202" s="3"/>
      <c r="E202" s="3"/>
      <c r="F202" s="3"/>
      <c r="G202" s="3"/>
    </row>
    <row r="203" spans="3:7" ht="13.2">
      <c r="C203" s="2"/>
      <c r="D203" s="3"/>
      <c r="E203" s="3"/>
      <c r="F203" s="3"/>
      <c r="G203" s="3"/>
    </row>
    <row r="204" spans="3:7" ht="13.2">
      <c r="C204" s="2"/>
      <c r="D204" s="3"/>
      <c r="E204" s="3"/>
      <c r="F204" s="3"/>
      <c r="G204" s="3"/>
    </row>
    <row r="205" spans="3:7" ht="13.2">
      <c r="C205" s="2"/>
      <c r="D205" s="3"/>
      <c r="E205" s="3"/>
      <c r="F205" s="3"/>
      <c r="G205" s="3"/>
    </row>
    <row r="206" spans="3:7" ht="13.2">
      <c r="C206" s="2"/>
      <c r="D206" s="3"/>
      <c r="E206" s="3"/>
      <c r="F206" s="3"/>
      <c r="G206" s="3"/>
    </row>
    <row r="207" spans="3:7" ht="13.2">
      <c r="C207" s="2"/>
      <c r="D207" s="3"/>
      <c r="E207" s="3"/>
      <c r="F207" s="3"/>
      <c r="G207" s="3"/>
    </row>
    <row r="208" spans="3:7" ht="13.2">
      <c r="C208" s="2"/>
      <c r="D208" s="3"/>
      <c r="E208" s="3"/>
      <c r="F208" s="3"/>
      <c r="G208" s="3"/>
    </row>
    <row r="209" spans="3:7" ht="13.2">
      <c r="C209" s="2"/>
      <c r="D209" s="3"/>
      <c r="E209" s="3"/>
      <c r="F209" s="3"/>
      <c r="G209" s="3"/>
    </row>
    <row r="210" spans="3:7" ht="13.2">
      <c r="C210" s="2"/>
      <c r="D210" s="3"/>
      <c r="E210" s="3"/>
      <c r="F210" s="3"/>
      <c r="G210" s="3"/>
    </row>
    <row r="211" spans="3:7" ht="13.2">
      <c r="C211" s="2"/>
      <c r="D211" s="3"/>
      <c r="E211" s="3"/>
      <c r="F211" s="3"/>
      <c r="G211" s="3"/>
    </row>
    <row r="212" spans="3:7" ht="13.2">
      <c r="C212" s="2"/>
      <c r="D212" s="3"/>
      <c r="E212" s="3"/>
      <c r="F212" s="3"/>
      <c r="G212" s="3"/>
    </row>
    <row r="213" spans="3:7" ht="13.2">
      <c r="C213" s="2"/>
      <c r="D213" s="3"/>
      <c r="E213" s="3"/>
      <c r="F213" s="3"/>
      <c r="G213" s="3"/>
    </row>
    <row r="214" spans="3:7" ht="13.2">
      <c r="C214" s="2"/>
      <c r="D214" s="3"/>
      <c r="E214" s="3"/>
      <c r="F214" s="3"/>
      <c r="G214" s="3"/>
    </row>
    <row r="215" spans="3:7" ht="13.2">
      <c r="C215" s="2"/>
      <c r="D215" s="3"/>
      <c r="E215" s="3"/>
      <c r="F215" s="3"/>
      <c r="G215" s="3"/>
    </row>
    <row r="216" spans="3:7" ht="13.2">
      <c r="C216" s="2"/>
      <c r="D216" s="3"/>
      <c r="E216" s="3"/>
      <c r="F216" s="3"/>
      <c r="G216" s="3"/>
    </row>
    <row r="217" spans="3:7" ht="13.2">
      <c r="C217" s="2"/>
      <c r="D217" s="3"/>
      <c r="E217" s="3"/>
      <c r="F217" s="3"/>
      <c r="G217" s="3"/>
    </row>
    <row r="218" spans="3:7" ht="13.2">
      <c r="C218" s="2"/>
      <c r="D218" s="3"/>
      <c r="E218" s="3"/>
      <c r="F218" s="3"/>
      <c r="G218" s="3"/>
    </row>
    <row r="219" spans="3:7" ht="13.2">
      <c r="C219" s="2"/>
      <c r="D219" s="3"/>
      <c r="E219" s="3"/>
      <c r="F219" s="3"/>
      <c r="G219" s="3"/>
    </row>
    <row r="220" spans="3:7" ht="13.2">
      <c r="C220" s="2"/>
      <c r="D220" s="3"/>
      <c r="E220" s="3"/>
      <c r="F220" s="3"/>
      <c r="G220" s="3"/>
    </row>
    <row r="221" spans="3:7" ht="13.2">
      <c r="C221" s="2"/>
      <c r="D221" s="3"/>
      <c r="E221" s="3"/>
      <c r="F221" s="3"/>
      <c r="G221" s="3"/>
    </row>
    <row r="222" spans="3:7" ht="13.2">
      <c r="C222" s="2"/>
      <c r="D222" s="3"/>
      <c r="E222" s="3"/>
      <c r="F222" s="3"/>
      <c r="G222" s="3"/>
    </row>
    <row r="223" spans="3:7" ht="13.2">
      <c r="C223" s="2"/>
      <c r="D223" s="3"/>
      <c r="E223" s="3"/>
      <c r="F223" s="3"/>
      <c r="G223" s="3"/>
    </row>
    <row r="224" spans="3:7" ht="13.2">
      <c r="C224" s="2"/>
      <c r="D224" s="3"/>
      <c r="E224" s="3"/>
      <c r="F224" s="3"/>
      <c r="G224" s="3"/>
    </row>
    <row r="225" spans="3:7" ht="13.2">
      <c r="C225" s="2"/>
      <c r="D225" s="3"/>
      <c r="E225" s="3"/>
      <c r="F225" s="3"/>
      <c r="G225" s="3"/>
    </row>
    <row r="226" spans="3:7" ht="13.2">
      <c r="C226" s="2"/>
      <c r="D226" s="3"/>
      <c r="E226" s="3"/>
      <c r="F226" s="3"/>
      <c r="G226" s="3"/>
    </row>
    <row r="227" spans="3:7" ht="13.2">
      <c r="C227" s="2"/>
      <c r="D227" s="3"/>
      <c r="E227" s="3"/>
      <c r="F227" s="3"/>
      <c r="G227" s="3"/>
    </row>
    <row r="228" spans="3:7" ht="13.2">
      <c r="C228" s="2"/>
      <c r="D228" s="3"/>
      <c r="E228" s="3"/>
      <c r="F228" s="3"/>
      <c r="G228" s="3"/>
    </row>
    <row r="229" spans="3:7" ht="13.2">
      <c r="C229" s="2"/>
      <c r="D229" s="3"/>
      <c r="E229" s="3"/>
      <c r="F229" s="3"/>
      <c r="G229" s="3"/>
    </row>
    <row r="230" spans="3:7" ht="13.2">
      <c r="C230" s="2"/>
      <c r="D230" s="3"/>
      <c r="E230" s="3"/>
      <c r="F230" s="3"/>
      <c r="G230" s="3"/>
    </row>
    <row r="231" spans="3:7" ht="13.2">
      <c r="C231" s="2"/>
      <c r="D231" s="3"/>
      <c r="E231" s="3"/>
      <c r="F231" s="3"/>
      <c r="G231" s="3"/>
    </row>
    <row r="232" spans="3:7" ht="13.2">
      <c r="C232" s="2"/>
      <c r="D232" s="3"/>
      <c r="E232" s="3"/>
      <c r="F232" s="3"/>
      <c r="G232" s="3"/>
    </row>
    <row r="233" spans="3:7" ht="13.2">
      <c r="C233" s="2"/>
      <c r="D233" s="3"/>
      <c r="E233" s="3"/>
      <c r="F233" s="3"/>
      <c r="G233" s="3"/>
    </row>
    <row r="234" spans="3:7" ht="13.2">
      <c r="C234" s="2"/>
      <c r="D234" s="3"/>
      <c r="E234" s="3"/>
      <c r="F234" s="3"/>
      <c r="G234" s="3"/>
    </row>
    <row r="235" spans="3:7" ht="13.2">
      <c r="C235" s="2"/>
      <c r="D235" s="3"/>
      <c r="E235" s="3"/>
      <c r="F235" s="3"/>
      <c r="G235" s="3"/>
    </row>
    <row r="236" spans="3:7" ht="13.2">
      <c r="C236" s="2"/>
      <c r="D236" s="3"/>
      <c r="E236" s="3"/>
      <c r="F236" s="3"/>
      <c r="G236" s="3"/>
    </row>
    <row r="237" spans="3:7" ht="13.2">
      <c r="C237" s="2"/>
      <c r="D237" s="3"/>
      <c r="E237" s="3"/>
      <c r="F237" s="3"/>
      <c r="G237" s="3"/>
    </row>
    <row r="238" spans="3:7" ht="13.2">
      <c r="C238" s="2"/>
      <c r="D238" s="3"/>
      <c r="E238" s="3"/>
      <c r="F238" s="3"/>
      <c r="G238" s="3"/>
    </row>
    <row r="239" spans="3:7" ht="13.2">
      <c r="C239" s="2"/>
      <c r="D239" s="3"/>
      <c r="E239" s="3"/>
      <c r="F239" s="3"/>
      <c r="G239" s="3"/>
    </row>
    <row r="240" spans="3:7" ht="13.2">
      <c r="C240" s="2"/>
      <c r="D240" s="3"/>
      <c r="E240" s="3"/>
      <c r="F240" s="3"/>
      <c r="G240" s="3"/>
    </row>
    <row r="241" spans="3:7" ht="13.2">
      <c r="C241" s="2"/>
      <c r="D241" s="3"/>
      <c r="E241" s="3"/>
      <c r="F241" s="3"/>
      <c r="G241" s="3"/>
    </row>
    <row r="242" spans="3:7" ht="13.2">
      <c r="C242" s="2"/>
      <c r="D242" s="3"/>
      <c r="E242" s="3"/>
      <c r="F242" s="3"/>
      <c r="G242" s="3"/>
    </row>
    <row r="243" spans="3:7" ht="13.2">
      <c r="C243" s="2"/>
      <c r="D243" s="3"/>
      <c r="E243" s="3"/>
      <c r="F243" s="3"/>
      <c r="G243" s="3"/>
    </row>
    <row r="244" spans="3:7" ht="13.2">
      <c r="C244" s="2"/>
      <c r="D244" s="3"/>
      <c r="E244" s="3"/>
      <c r="F244" s="3"/>
      <c r="G244" s="3"/>
    </row>
    <row r="245" spans="3:7" ht="13.2">
      <c r="C245" s="2"/>
      <c r="D245" s="3"/>
      <c r="E245" s="3"/>
      <c r="F245" s="3"/>
      <c r="G245" s="3"/>
    </row>
    <row r="246" spans="3:7" ht="13.2">
      <c r="C246" s="2"/>
      <c r="D246" s="3"/>
      <c r="E246" s="3"/>
      <c r="F246" s="3"/>
      <c r="G246" s="3"/>
    </row>
    <row r="247" spans="3:7" ht="13.2">
      <c r="C247" s="2"/>
      <c r="D247" s="3"/>
      <c r="E247" s="3"/>
      <c r="F247" s="3"/>
      <c r="G247" s="3"/>
    </row>
    <row r="248" spans="3:7" ht="13.2">
      <c r="C248" s="2"/>
      <c r="D248" s="3"/>
      <c r="E248" s="3"/>
      <c r="F248" s="3"/>
      <c r="G248" s="3"/>
    </row>
    <row r="249" spans="3:7" ht="13.2">
      <c r="C249" s="2"/>
      <c r="D249" s="3"/>
      <c r="E249" s="3"/>
      <c r="F249" s="3"/>
      <c r="G249" s="3"/>
    </row>
    <row r="250" spans="3:7" ht="13.2">
      <c r="C250" s="2"/>
      <c r="D250" s="3"/>
      <c r="E250" s="3"/>
      <c r="F250" s="3"/>
      <c r="G250" s="3"/>
    </row>
    <row r="251" spans="3:7" ht="13.2">
      <c r="C251" s="2"/>
      <c r="D251" s="3"/>
      <c r="E251" s="3"/>
      <c r="F251" s="3"/>
      <c r="G251" s="3"/>
    </row>
    <row r="252" spans="3:7" ht="13.2">
      <c r="C252" s="2"/>
      <c r="D252" s="3"/>
      <c r="E252" s="3"/>
      <c r="F252" s="3"/>
      <c r="G252" s="3"/>
    </row>
    <row r="253" spans="3:7" ht="13.2">
      <c r="C253" s="2"/>
      <c r="D253" s="3"/>
      <c r="E253" s="3"/>
      <c r="F253" s="3"/>
      <c r="G253" s="3"/>
    </row>
    <row r="254" spans="3:7" ht="13.2">
      <c r="C254" s="2"/>
      <c r="D254" s="3"/>
      <c r="E254" s="3"/>
      <c r="F254" s="3"/>
      <c r="G254" s="3"/>
    </row>
    <row r="255" spans="3:7" ht="13.2">
      <c r="C255" s="2"/>
      <c r="D255" s="3"/>
      <c r="E255" s="3"/>
      <c r="F255" s="3"/>
      <c r="G255" s="3"/>
    </row>
    <row r="256" spans="3:7" ht="13.2">
      <c r="C256" s="2"/>
      <c r="D256" s="3"/>
      <c r="E256" s="3"/>
      <c r="F256" s="3"/>
      <c r="G256" s="3"/>
    </row>
    <row r="257" spans="3:7" ht="13.2">
      <c r="C257" s="2"/>
      <c r="D257" s="3"/>
      <c r="E257" s="3"/>
      <c r="F257" s="3"/>
      <c r="G257" s="3"/>
    </row>
    <row r="258" spans="3:7" ht="13.2">
      <c r="C258" s="2"/>
      <c r="D258" s="3"/>
      <c r="E258" s="3"/>
      <c r="F258" s="3"/>
      <c r="G258" s="3"/>
    </row>
    <row r="259" spans="3:7" ht="13.2">
      <c r="C259" s="2"/>
      <c r="D259" s="3"/>
      <c r="E259" s="3"/>
      <c r="F259" s="3"/>
      <c r="G259" s="3"/>
    </row>
    <row r="260" spans="3:7" ht="13.2">
      <c r="C260" s="2"/>
      <c r="D260" s="3"/>
      <c r="E260" s="3"/>
      <c r="F260" s="3"/>
      <c r="G260" s="3"/>
    </row>
    <row r="261" spans="3:7" ht="13.2">
      <c r="C261" s="2"/>
      <c r="D261" s="3"/>
      <c r="E261" s="3"/>
      <c r="F261" s="3"/>
      <c r="G261" s="3"/>
    </row>
    <row r="262" spans="3:7" ht="13.2">
      <c r="C262" s="2"/>
      <c r="D262" s="3"/>
      <c r="E262" s="3"/>
      <c r="F262" s="3"/>
      <c r="G262" s="3"/>
    </row>
    <row r="263" spans="3:7" ht="13.2">
      <c r="C263" s="2"/>
      <c r="D263" s="3"/>
      <c r="E263" s="3"/>
      <c r="F263" s="3"/>
      <c r="G263" s="3"/>
    </row>
    <row r="264" spans="3:7" ht="13.2">
      <c r="C264" s="2"/>
      <c r="D264" s="3"/>
      <c r="E264" s="3"/>
      <c r="F264" s="3"/>
      <c r="G264" s="3"/>
    </row>
    <row r="265" spans="3:7" ht="13.2">
      <c r="C265" s="2"/>
      <c r="D265" s="3"/>
      <c r="E265" s="3"/>
      <c r="F265" s="3"/>
      <c r="G265" s="3"/>
    </row>
    <row r="266" spans="3:7" ht="13.2">
      <c r="C266" s="2"/>
      <c r="D266" s="3"/>
      <c r="E266" s="3"/>
      <c r="F266" s="3"/>
      <c r="G266" s="3"/>
    </row>
    <row r="267" spans="3:7" ht="13.2">
      <c r="C267" s="2"/>
      <c r="D267" s="3"/>
      <c r="E267" s="3"/>
      <c r="F267" s="3"/>
      <c r="G267" s="3"/>
    </row>
    <row r="268" spans="3:7" ht="13.2">
      <c r="C268" s="2"/>
      <c r="D268" s="3"/>
      <c r="E268" s="3"/>
      <c r="F268" s="3"/>
      <c r="G268" s="3"/>
    </row>
    <row r="269" spans="3:7" ht="13.2">
      <c r="C269" s="2"/>
      <c r="D269" s="3"/>
      <c r="E269" s="3"/>
      <c r="F269" s="3"/>
      <c r="G269" s="3"/>
    </row>
    <row r="270" spans="3:7" ht="13.2">
      <c r="C270" s="2"/>
      <c r="D270" s="3"/>
      <c r="E270" s="3"/>
      <c r="F270" s="3"/>
      <c r="G270" s="3"/>
    </row>
    <row r="271" spans="3:7" ht="13.2">
      <c r="C271" s="2"/>
      <c r="D271" s="3"/>
      <c r="E271" s="3"/>
      <c r="F271" s="3"/>
      <c r="G271" s="3"/>
    </row>
    <row r="272" spans="3:7" ht="13.2">
      <c r="C272" s="2"/>
      <c r="D272" s="3"/>
      <c r="E272" s="3"/>
      <c r="F272" s="3"/>
      <c r="G272" s="3"/>
    </row>
    <row r="273" spans="3:7" ht="13.2">
      <c r="C273" s="2"/>
      <c r="D273" s="3"/>
      <c r="E273" s="3"/>
      <c r="F273" s="3"/>
      <c r="G273" s="3"/>
    </row>
    <row r="274" spans="3:7" ht="13.2">
      <c r="C274" s="2"/>
      <c r="D274" s="3"/>
      <c r="E274" s="3"/>
      <c r="F274" s="3"/>
      <c r="G274" s="3"/>
    </row>
    <row r="275" spans="3:7" ht="13.2">
      <c r="C275" s="2"/>
      <c r="D275" s="3"/>
      <c r="E275" s="3"/>
      <c r="F275" s="3"/>
      <c r="G275" s="3"/>
    </row>
    <row r="276" spans="3:7" ht="13.2">
      <c r="C276" s="2"/>
      <c r="D276" s="3"/>
      <c r="E276" s="3"/>
      <c r="F276" s="3"/>
      <c r="G276" s="3"/>
    </row>
    <row r="277" spans="3:7" ht="13.2">
      <c r="C277" s="2"/>
      <c r="D277" s="3"/>
      <c r="E277" s="3"/>
      <c r="F277" s="3"/>
      <c r="G277" s="3"/>
    </row>
    <row r="278" spans="3:7" ht="13.2">
      <c r="C278" s="2"/>
      <c r="D278" s="3"/>
      <c r="E278" s="3"/>
      <c r="F278" s="3"/>
      <c r="G278" s="3"/>
    </row>
    <row r="279" spans="3:7" ht="13.2">
      <c r="C279" s="2"/>
      <c r="D279" s="3"/>
      <c r="E279" s="3"/>
      <c r="F279" s="3"/>
      <c r="G279" s="3"/>
    </row>
    <row r="280" spans="3:7" ht="13.2">
      <c r="C280" s="2"/>
      <c r="D280" s="3"/>
      <c r="E280" s="3"/>
      <c r="F280" s="3"/>
      <c r="G280" s="3"/>
    </row>
    <row r="281" spans="3:7" ht="13.2">
      <c r="C281" s="2"/>
      <c r="D281" s="3"/>
      <c r="E281" s="3"/>
      <c r="F281" s="3"/>
      <c r="G281" s="3"/>
    </row>
    <row r="282" spans="3:7" ht="13.2">
      <c r="C282" s="2"/>
      <c r="D282" s="3"/>
      <c r="E282" s="3"/>
      <c r="F282" s="3"/>
      <c r="G282" s="3"/>
    </row>
    <row r="283" spans="3:7" ht="13.2">
      <c r="C283" s="2"/>
      <c r="D283" s="3"/>
      <c r="E283" s="3"/>
      <c r="F283" s="3"/>
      <c r="G283" s="3"/>
    </row>
    <row r="284" spans="3:7" ht="13.2">
      <c r="C284" s="2"/>
      <c r="D284" s="3"/>
      <c r="E284" s="3"/>
      <c r="F284" s="3"/>
      <c r="G284" s="3"/>
    </row>
    <row r="285" spans="3:7" ht="13.2">
      <c r="C285" s="2"/>
      <c r="D285" s="3"/>
      <c r="E285" s="3"/>
      <c r="F285" s="3"/>
      <c r="G285" s="3"/>
    </row>
    <row r="286" spans="3:7" ht="13.2">
      <c r="C286" s="2"/>
      <c r="D286" s="3"/>
      <c r="E286" s="3"/>
      <c r="F286" s="3"/>
      <c r="G286" s="3"/>
    </row>
    <row r="287" spans="3:7" ht="13.2">
      <c r="C287" s="2"/>
      <c r="D287" s="3"/>
      <c r="E287" s="3"/>
      <c r="F287" s="3"/>
      <c r="G287" s="3"/>
    </row>
    <row r="288" spans="3:7" ht="13.2">
      <c r="C288" s="2"/>
      <c r="D288" s="3"/>
      <c r="E288" s="3"/>
      <c r="F288" s="3"/>
      <c r="G288" s="3"/>
    </row>
    <row r="289" spans="3:7" ht="13.2">
      <c r="C289" s="2"/>
      <c r="D289" s="3"/>
      <c r="E289" s="3"/>
      <c r="F289" s="3"/>
      <c r="G289" s="3"/>
    </row>
    <row r="290" spans="3:7" ht="13.2">
      <c r="C290" s="2"/>
      <c r="D290" s="3"/>
      <c r="E290" s="3"/>
      <c r="F290" s="3"/>
      <c r="G290" s="3"/>
    </row>
    <row r="291" spans="3:7" ht="13.2">
      <c r="C291" s="2"/>
      <c r="D291" s="3"/>
      <c r="E291" s="3"/>
      <c r="F291" s="3"/>
      <c r="G291" s="3"/>
    </row>
    <row r="292" spans="3:7" ht="13.2">
      <c r="C292" s="2"/>
      <c r="D292" s="3"/>
      <c r="E292" s="3"/>
      <c r="F292" s="3"/>
      <c r="G292" s="3"/>
    </row>
    <row r="293" spans="3:7" ht="13.2">
      <c r="C293" s="2"/>
      <c r="D293" s="3"/>
      <c r="E293" s="3"/>
      <c r="F293" s="3"/>
      <c r="G293" s="3"/>
    </row>
    <row r="294" spans="3:7" ht="13.2">
      <c r="C294" s="2"/>
      <c r="D294" s="3"/>
      <c r="E294" s="3"/>
      <c r="F294" s="3"/>
      <c r="G294" s="3"/>
    </row>
    <row r="295" spans="3:7" ht="13.2">
      <c r="C295" s="2"/>
      <c r="D295" s="3"/>
      <c r="E295" s="3"/>
      <c r="F295" s="3"/>
      <c r="G295" s="3"/>
    </row>
    <row r="296" spans="3:7" ht="13.2">
      <c r="C296" s="2"/>
      <c r="D296" s="3"/>
      <c r="E296" s="3"/>
      <c r="F296" s="3"/>
      <c r="G296" s="3"/>
    </row>
    <row r="297" spans="3:7" ht="13.2">
      <c r="C297" s="2"/>
      <c r="D297" s="3"/>
      <c r="E297" s="3"/>
      <c r="F297" s="3"/>
      <c r="G297" s="3"/>
    </row>
    <row r="298" spans="3:7" ht="13.2">
      <c r="C298" s="2"/>
      <c r="D298" s="3"/>
      <c r="E298" s="3"/>
      <c r="F298" s="3"/>
      <c r="G298" s="3"/>
    </row>
    <row r="299" spans="3:7" ht="13.2">
      <c r="C299" s="2"/>
      <c r="D299" s="3"/>
      <c r="E299" s="3"/>
      <c r="F299" s="3"/>
      <c r="G299" s="3"/>
    </row>
    <row r="300" spans="3:7" ht="13.2">
      <c r="C300" s="2"/>
      <c r="D300" s="3"/>
      <c r="E300" s="3"/>
      <c r="F300" s="3"/>
      <c r="G300" s="3"/>
    </row>
    <row r="301" spans="3:7" ht="13.2">
      <c r="C301" s="2"/>
      <c r="D301" s="3"/>
      <c r="E301" s="3"/>
      <c r="F301" s="3"/>
      <c r="G301" s="3"/>
    </row>
    <row r="302" spans="3:7" ht="13.2">
      <c r="C302" s="2"/>
      <c r="D302" s="3"/>
      <c r="E302" s="3"/>
      <c r="F302" s="3"/>
      <c r="G302" s="3"/>
    </row>
    <row r="303" spans="3:7" ht="13.2">
      <c r="C303" s="2"/>
      <c r="D303" s="3"/>
      <c r="E303" s="3"/>
      <c r="F303" s="3"/>
      <c r="G303" s="3"/>
    </row>
    <row r="304" spans="3:7" ht="13.2">
      <c r="C304" s="2"/>
      <c r="D304" s="3"/>
      <c r="E304" s="3"/>
      <c r="F304" s="3"/>
      <c r="G304" s="3"/>
    </row>
    <row r="305" spans="3:7" ht="13.2">
      <c r="C305" s="2"/>
      <c r="D305" s="3"/>
      <c r="E305" s="3"/>
      <c r="F305" s="3"/>
      <c r="G305" s="3"/>
    </row>
    <row r="306" spans="3:7" ht="13.2">
      <c r="C306" s="2"/>
      <c r="D306" s="3"/>
      <c r="E306" s="3"/>
      <c r="F306" s="3"/>
      <c r="G306" s="3"/>
    </row>
    <row r="307" spans="3:7" ht="13.2">
      <c r="C307" s="2"/>
      <c r="D307" s="3"/>
      <c r="E307" s="3"/>
      <c r="F307" s="3"/>
      <c r="G307" s="3"/>
    </row>
    <row r="308" spans="3:7" ht="13.2">
      <c r="C308" s="2"/>
      <c r="D308" s="3"/>
      <c r="E308" s="3"/>
      <c r="F308" s="3"/>
      <c r="G308" s="3"/>
    </row>
    <row r="309" spans="3:7" ht="13.2">
      <c r="C309" s="2"/>
      <c r="D309" s="3"/>
      <c r="E309" s="3"/>
      <c r="F309" s="3"/>
      <c r="G309" s="3"/>
    </row>
    <row r="310" spans="3:7" ht="13.2">
      <c r="C310" s="2"/>
      <c r="D310" s="3"/>
      <c r="E310" s="3"/>
      <c r="F310" s="3"/>
      <c r="G310" s="3"/>
    </row>
    <row r="311" spans="3:7" ht="13.2">
      <c r="C311" s="2"/>
      <c r="D311" s="3"/>
      <c r="E311" s="3"/>
      <c r="F311" s="3"/>
      <c r="G311" s="3"/>
    </row>
    <row r="312" spans="3:7" ht="13.2">
      <c r="C312" s="2"/>
      <c r="D312" s="3"/>
      <c r="E312" s="3"/>
      <c r="F312" s="3"/>
      <c r="G312" s="3"/>
    </row>
    <row r="313" spans="3:7" ht="13.2">
      <c r="C313" s="2"/>
      <c r="D313" s="3"/>
      <c r="E313" s="3"/>
      <c r="F313" s="3"/>
      <c r="G313" s="3"/>
    </row>
    <row r="314" spans="3:7" ht="13.2">
      <c r="C314" s="2"/>
      <c r="D314" s="3"/>
      <c r="E314" s="3"/>
      <c r="F314" s="3"/>
      <c r="G314" s="3"/>
    </row>
    <row r="315" spans="3:7" ht="13.2">
      <c r="C315" s="2"/>
      <c r="D315" s="3"/>
      <c r="E315" s="3"/>
      <c r="F315" s="3"/>
      <c r="G315" s="3"/>
    </row>
    <row r="316" spans="3:7" ht="13.2">
      <c r="C316" s="2"/>
      <c r="D316" s="3"/>
      <c r="E316" s="3"/>
      <c r="F316" s="3"/>
      <c r="G316" s="3"/>
    </row>
    <row r="317" spans="3:7" ht="13.2">
      <c r="C317" s="2"/>
      <c r="D317" s="3"/>
      <c r="E317" s="3"/>
      <c r="F317" s="3"/>
      <c r="G317" s="3"/>
    </row>
    <row r="318" spans="3:7" ht="13.2">
      <c r="C318" s="2"/>
      <c r="D318" s="3"/>
      <c r="E318" s="3"/>
      <c r="F318" s="3"/>
      <c r="G318" s="3"/>
    </row>
    <row r="319" spans="3:7" ht="13.2">
      <c r="C319" s="2"/>
      <c r="D319" s="3"/>
      <c r="E319" s="3"/>
      <c r="F319" s="3"/>
      <c r="G319" s="3"/>
    </row>
    <row r="320" spans="3:7" ht="13.2">
      <c r="C320" s="2"/>
      <c r="D320" s="3"/>
      <c r="E320" s="3"/>
      <c r="F320" s="3"/>
      <c r="G320" s="3"/>
    </row>
    <row r="321" spans="3:7" ht="13.2">
      <c r="C321" s="2"/>
      <c r="D321" s="3"/>
      <c r="E321" s="3"/>
      <c r="F321" s="3"/>
      <c r="G321" s="3"/>
    </row>
    <row r="322" spans="3:7" ht="13.2">
      <c r="C322" s="2"/>
      <c r="D322" s="3"/>
      <c r="E322" s="3"/>
      <c r="F322" s="3"/>
      <c r="G322" s="3"/>
    </row>
    <row r="323" spans="3:7" ht="13.2">
      <c r="C323" s="2"/>
      <c r="D323" s="3"/>
      <c r="E323" s="3"/>
      <c r="F323" s="3"/>
      <c r="G323" s="3"/>
    </row>
    <row r="324" spans="3:7" ht="13.2">
      <c r="C324" s="2"/>
      <c r="D324" s="3"/>
      <c r="E324" s="3"/>
      <c r="F324" s="3"/>
      <c r="G324" s="3"/>
    </row>
    <row r="325" spans="3:7" ht="13.2">
      <c r="C325" s="2"/>
      <c r="D325" s="3"/>
      <c r="E325" s="3"/>
      <c r="F325" s="3"/>
      <c r="G325" s="3"/>
    </row>
    <row r="326" spans="3:7" ht="13.2">
      <c r="C326" s="2"/>
      <c r="D326" s="3"/>
      <c r="E326" s="3"/>
      <c r="F326" s="3"/>
      <c r="G326" s="3"/>
    </row>
    <row r="327" spans="3:7" ht="13.2">
      <c r="C327" s="2"/>
      <c r="D327" s="3"/>
      <c r="E327" s="3"/>
      <c r="F327" s="3"/>
      <c r="G327" s="3"/>
    </row>
    <row r="328" spans="3:7" ht="13.2">
      <c r="C328" s="2"/>
      <c r="D328" s="3"/>
      <c r="E328" s="3"/>
      <c r="F328" s="3"/>
      <c r="G328" s="3"/>
    </row>
    <row r="329" spans="3:7" ht="13.2">
      <c r="C329" s="2"/>
      <c r="D329" s="3"/>
      <c r="E329" s="3"/>
      <c r="F329" s="3"/>
      <c r="G329" s="3"/>
    </row>
    <row r="330" spans="3:7" ht="13.2">
      <c r="C330" s="2"/>
      <c r="D330" s="3"/>
      <c r="E330" s="3"/>
      <c r="F330" s="3"/>
      <c r="G330" s="3"/>
    </row>
    <row r="331" spans="3:7" ht="13.2">
      <c r="C331" s="2"/>
      <c r="D331" s="3"/>
      <c r="E331" s="3"/>
      <c r="F331" s="3"/>
      <c r="G331" s="3"/>
    </row>
    <row r="332" spans="3:7" ht="13.2">
      <c r="C332" s="2"/>
      <c r="D332" s="3"/>
      <c r="E332" s="3"/>
      <c r="F332" s="3"/>
      <c r="G332" s="3"/>
    </row>
    <row r="333" spans="3:7" ht="13.2">
      <c r="C333" s="2"/>
      <c r="D333" s="3"/>
      <c r="E333" s="3"/>
      <c r="F333" s="3"/>
      <c r="G333" s="3"/>
    </row>
    <row r="334" spans="3:7" ht="13.2">
      <c r="C334" s="2"/>
      <c r="D334" s="3"/>
      <c r="E334" s="3"/>
      <c r="F334" s="3"/>
      <c r="G334" s="3"/>
    </row>
    <row r="335" spans="3:7" ht="13.2">
      <c r="C335" s="2"/>
      <c r="D335" s="3"/>
      <c r="E335" s="3"/>
      <c r="F335" s="3"/>
      <c r="G335" s="3"/>
    </row>
    <row r="336" spans="3:7" ht="13.2">
      <c r="C336" s="2"/>
      <c r="D336" s="3"/>
      <c r="E336" s="3"/>
      <c r="F336" s="3"/>
      <c r="G336" s="3"/>
    </row>
    <row r="337" spans="3:7" ht="13.2">
      <c r="C337" s="2"/>
      <c r="D337" s="3"/>
      <c r="E337" s="3"/>
      <c r="F337" s="3"/>
      <c r="G337" s="3"/>
    </row>
    <row r="338" spans="3:7" ht="13.2">
      <c r="C338" s="2"/>
      <c r="D338" s="3"/>
      <c r="E338" s="3"/>
      <c r="F338" s="3"/>
      <c r="G338" s="3"/>
    </row>
    <row r="339" spans="3:7" ht="13.2">
      <c r="C339" s="2"/>
      <c r="D339" s="3"/>
      <c r="E339" s="3"/>
      <c r="F339" s="3"/>
      <c r="G339" s="3"/>
    </row>
    <row r="340" spans="3:7" ht="13.2">
      <c r="C340" s="2"/>
      <c r="D340" s="3"/>
      <c r="E340" s="3"/>
      <c r="F340" s="3"/>
      <c r="G340" s="3"/>
    </row>
    <row r="341" spans="3:7" ht="13.2">
      <c r="C341" s="2"/>
      <c r="D341" s="3"/>
      <c r="E341" s="3"/>
      <c r="F341" s="3"/>
      <c r="G341" s="3"/>
    </row>
    <row r="342" spans="3:7" ht="13.2">
      <c r="C342" s="2"/>
      <c r="D342" s="3"/>
      <c r="E342" s="3"/>
      <c r="F342" s="3"/>
      <c r="G342" s="3"/>
    </row>
    <row r="343" spans="3:7" ht="13.2">
      <c r="C343" s="2"/>
      <c r="D343" s="3"/>
      <c r="E343" s="3"/>
      <c r="F343" s="3"/>
      <c r="G343" s="3"/>
    </row>
    <row r="344" spans="3:7" ht="13.2">
      <c r="C344" s="2"/>
      <c r="D344" s="3"/>
      <c r="E344" s="3"/>
      <c r="F344" s="3"/>
      <c r="G344" s="3"/>
    </row>
    <row r="345" spans="3:7" ht="13.2">
      <c r="C345" s="2"/>
      <c r="D345" s="3"/>
      <c r="E345" s="3"/>
      <c r="F345" s="3"/>
      <c r="G345" s="3"/>
    </row>
    <row r="346" spans="3:7" ht="13.2">
      <c r="C346" s="2"/>
      <c r="D346" s="3"/>
      <c r="E346" s="3"/>
      <c r="F346" s="3"/>
      <c r="G346" s="3"/>
    </row>
    <row r="347" spans="3:7" ht="13.2">
      <c r="C347" s="2"/>
      <c r="D347" s="3"/>
      <c r="E347" s="3"/>
      <c r="F347" s="3"/>
      <c r="G347" s="3"/>
    </row>
    <row r="348" spans="3:7" ht="13.2">
      <c r="C348" s="2"/>
      <c r="D348" s="3"/>
      <c r="E348" s="3"/>
      <c r="F348" s="3"/>
      <c r="G348" s="3"/>
    </row>
    <row r="349" spans="3:7" ht="13.2">
      <c r="C349" s="2"/>
      <c r="D349" s="3"/>
      <c r="E349" s="3"/>
      <c r="F349" s="3"/>
      <c r="G349" s="3"/>
    </row>
    <row r="350" spans="3:7" ht="13.2">
      <c r="C350" s="2"/>
      <c r="D350" s="3"/>
      <c r="E350" s="3"/>
      <c r="F350" s="3"/>
      <c r="G350" s="3"/>
    </row>
    <row r="351" spans="3:7" ht="13.2">
      <c r="C351" s="2"/>
      <c r="D351" s="3"/>
      <c r="E351" s="3"/>
      <c r="F351" s="3"/>
      <c r="G351" s="3"/>
    </row>
    <row r="352" spans="3:7" ht="13.2">
      <c r="C352" s="2"/>
      <c r="D352" s="3"/>
      <c r="E352" s="3"/>
      <c r="F352" s="3"/>
      <c r="G352" s="3"/>
    </row>
    <row r="353" spans="3:7" ht="13.2">
      <c r="C353" s="2"/>
      <c r="D353" s="3"/>
      <c r="E353" s="3"/>
      <c r="F353" s="3"/>
      <c r="G353" s="3"/>
    </row>
    <row r="354" spans="3:7" ht="13.2">
      <c r="C354" s="2"/>
      <c r="D354" s="3"/>
      <c r="E354" s="3"/>
      <c r="F354" s="3"/>
      <c r="G354" s="3"/>
    </row>
    <row r="355" spans="3:7" ht="13.2">
      <c r="C355" s="2"/>
      <c r="D355" s="3"/>
      <c r="E355" s="3"/>
      <c r="F355" s="3"/>
      <c r="G355" s="3"/>
    </row>
    <row r="356" spans="3:7" ht="13.2">
      <c r="C356" s="2"/>
      <c r="D356" s="3"/>
      <c r="E356" s="3"/>
      <c r="F356" s="3"/>
      <c r="G356" s="3"/>
    </row>
    <row r="357" spans="3:7" ht="13.2">
      <c r="C357" s="2"/>
      <c r="D357" s="3"/>
      <c r="E357" s="3"/>
      <c r="F357" s="3"/>
      <c r="G357" s="3"/>
    </row>
    <row r="358" spans="3:7" ht="13.2">
      <c r="C358" s="2"/>
      <c r="D358" s="3"/>
      <c r="E358" s="3"/>
      <c r="F358" s="3"/>
      <c r="G358" s="3"/>
    </row>
    <row r="359" spans="3:7" ht="13.2">
      <c r="C359" s="2"/>
      <c r="D359" s="3"/>
      <c r="E359" s="3"/>
      <c r="F359" s="3"/>
      <c r="G359" s="3"/>
    </row>
    <row r="360" spans="3:7" ht="13.2">
      <c r="C360" s="2"/>
      <c r="D360" s="3"/>
      <c r="E360" s="3"/>
      <c r="F360" s="3"/>
      <c r="G360" s="3"/>
    </row>
    <row r="361" spans="3:7" ht="13.2">
      <c r="C361" s="2"/>
      <c r="D361" s="3"/>
      <c r="E361" s="3"/>
      <c r="F361" s="3"/>
      <c r="G361" s="3"/>
    </row>
    <row r="362" spans="3:7" ht="13.2">
      <c r="C362" s="2"/>
      <c r="D362" s="3"/>
      <c r="E362" s="3"/>
      <c r="F362" s="3"/>
      <c r="G362" s="3"/>
    </row>
    <row r="363" spans="3:7" ht="13.2">
      <c r="C363" s="2"/>
      <c r="D363" s="3"/>
      <c r="E363" s="3"/>
      <c r="F363" s="3"/>
      <c r="G363" s="3"/>
    </row>
    <row r="364" spans="3:7" ht="13.2">
      <c r="C364" s="2"/>
      <c r="D364" s="3"/>
      <c r="E364" s="3"/>
      <c r="F364" s="3"/>
      <c r="G364" s="3"/>
    </row>
    <row r="365" spans="3:7" ht="13.2">
      <c r="C365" s="2"/>
      <c r="D365" s="3"/>
      <c r="E365" s="3"/>
      <c r="F365" s="3"/>
      <c r="G365" s="3"/>
    </row>
    <row r="366" spans="3:7" ht="13.2">
      <c r="C366" s="2"/>
      <c r="D366" s="3"/>
      <c r="E366" s="3"/>
      <c r="F366" s="3"/>
      <c r="G366" s="3"/>
    </row>
    <row r="367" spans="3:7" ht="13.2">
      <c r="C367" s="2"/>
      <c r="D367" s="3"/>
      <c r="E367" s="3"/>
      <c r="F367" s="3"/>
      <c r="G367" s="3"/>
    </row>
    <row r="368" spans="3:7" ht="13.2">
      <c r="C368" s="2"/>
      <c r="D368" s="3"/>
      <c r="E368" s="3"/>
      <c r="F368" s="3"/>
      <c r="G368" s="3"/>
    </row>
    <row r="369" spans="3:7" ht="13.2">
      <c r="C369" s="2"/>
      <c r="D369" s="3"/>
      <c r="E369" s="3"/>
      <c r="F369" s="3"/>
      <c r="G369" s="3"/>
    </row>
    <row r="370" spans="3:7" ht="13.2">
      <c r="C370" s="2"/>
      <c r="D370" s="3"/>
      <c r="E370" s="3"/>
      <c r="F370" s="3"/>
      <c r="G370" s="3"/>
    </row>
    <row r="371" spans="3:7" ht="13.2">
      <c r="C371" s="2"/>
      <c r="D371" s="3"/>
      <c r="E371" s="3"/>
      <c r="F371" s="3"/>
      <c r="G371" s="3"/>
    </row>
    <row r="372" spans="3:7" ht="13.2">
      <c r="C372" s="2"/>
      <c r="D372" s="3"/>
      <c r="E372" s="3"/>
      <c r="F372" s="3"/>
      <c r="G372" s="3"/>
    </row>
    <row r="373" spans="3:7" ht="13.2">
      <c r="C373" s="2"/>
      <c r="D373" s="3"/>
      <c r="E373" s="3"/>
      <c r="F373" s="3"/>
      <c r="G373" s="3"/>
    </row>
    <row r="374" spans="3:7" ht="13.2">
      <c r="C374" s="2"/>
      <c r="D374" s="3"/>
      <c r="E374" s="3"/>
      <c r="F374" s="3"/>
      <c r="G374" s="3"/>
    </row>
    <row r="375" spans="3:7" ht="13.2">
      <c r="C375" s="2"/>
      <c r="D375" s="3"/>
      <c r="E375" s="3"/>
      <c r="F375" s="3"/>
      <c r="G375" s="3"/>
    </row>
    <row r="376" spans="3:7" ht="13.2">
      <c r="C376" s="2"/>
      <c r="D376" s="3"/>
      <c r="E376" s="3"/>
      <c r="F376" s="3"/>
      <c r="G376" s="3"/>
    </row>
    <row r="377" spans="3:7" ht="13.2">
      <c r="C377" s="2"/>
      <c r="D377" s="3"/>
      <c r="E377" s="3"/>
      <c r="F377" s="3"/>
      <c r="G377" s="3"/>
    </row>
    <row r="378" spans="3:7" ht="13.2">
      <c r="C378" s="2"/>
      <c r="D378" s="3"/>
      <c r="E378" s="3"/>
      <c r="F378" s="3"/>
      <c r="G378" s="3"/>
    </row>
    <row r="379" spans="3:7" ht="13.2">
      <c r="C379" s="2"/>
      <c r="D379" s="3"/>
      <c r="E379" s="3"/>
      <c r="F379" s="3"/>
      <c r="G379" s="3"/>
    </row>
    <row r="380" spans="3:7" ht="13.2">
      <c r="C380" s="2"/>
      <c r="D380" s="3"/>
      <c r="E380" s="3"/>
      <c r="F380" s="3"/>
      <c r="G380" s="3"/>
    </row>
    <row r="381" spans="3:7" ht="13.2">
      <c r="C381" s="2"/>
      <c r="D381" s="3"/>
      <c r="E381" s="3"/>
      <c r="F381" s="3"/>
      <c r="G381" s="3"/>
    </row>
    <row r="382" spans="3:7" ht="13.2">
      <c r="C382" s="2"/>
      <c r="D382" s="3"/>
      <c r="E382" s="3"/>
      <c r="F382" s="3"/>
      <c r="G382" s="3"/>
    </row>
    <row r="383" spans="3:7" ht="13.2">
      <c r="C383" s="2"/>
      <c r="D383" s="3"/>
      <c r="E383" s="3"/>
      <c r="F383" s="3"/>
      <c r="G383" s="3"/>
    </row>
    <row r="384" spans="3:7" ht="13.2">
      <c r="C384" s="2"/>
      <c r="D384" s="3"/>
      <c r="E384" s="3"/>
      <c r="F384" s="3"/>
      <c r="G384" s="3"/>
    </row>
    <row r="385" spans="3:7" ht="13.2">
      <c r="C385" s="2"/>
      <c r="D385" s="3"/>
      <c r="E385" s="3"/>
      <c r="F385" s="3"/>
      <c r="G385" s="3"/>
    </row>
    <row r="386" spans="3:7" ht="13.2">
      <c r="C386" s="2"/>
      <c r="D386" s="3"/>
      <c r="E386" s="3"/>
      <c r="F386" s="3"/>
      <c r="G386" s="3"/>
    </row>
    <row r="387" spans="3:7" ht="13.2">
      <c r="C387" s="2"/>
      <c r="D387" s="3"/>
      <c r="E387" s="3"/>
      <c r="F387" s="3"/>
      <c r="G387" s="3"/>
    </row>
    <row r="388" spans="3:7" ht="13.2">
      <c r="C388" s="2"/>
      <c r="D388" s="3"/>
      <c r="E388" s="3"/>
      <c r="F388" s="3"/>
      <c r="G388" s="3"/>
    </row>
    <row r="389" spans="3:7" ht="13.2">
      <c r="C389" s="2"/>
      <c r="D389" s="3"/>
      <c r="E389" s="3"/>
      <c r="F389" s="3"/>
      <c r="G389" s="3"/>
    </row>
    <row r="390" spans="3:7" ht="13.2">
      <c r="C390" s="2"/>
      <c r="D390" s="3"/>
      <c r="E390" s="3"/>
      <c r="F390" s="3"/>
      <c r="G390" s="3"/>
    </row>
    <row r="391" spans="3:7" ht="13.2">
      <c r="C391" s="2"/>
      <c r="D391" s="3"/>
      <c r="E391" s="3"/>
      <c r="F391" s="3"/>
      <c r="G391" s="3"/>
    </row>
    <row r="392" spans="3:7" ht="13.2">
      <c r="C392" s="2"/>
      <c r="D392" s="3"/>
      <c r="E392" s="3"/>
      <c r="F392" s="3"/>
      <c r="G392" s="3"/>
    </row>
    <row r="393" spans="3:7" ht="13.2">
      <c r="C393" s="2"/>
      <c r="D393" s="3"/>
      <c r="E393" s="3"/>
      <c r="F393" s="3"/>
      <c r="G393" s="3"/>
    </row>
    <row r="394" spans="3:7" ht="13.2">
      <c r="C394" s="2"/>
      <c r="D394" s="3"/>
      <c r="E394" s="3"/>
      <c r="F394" s="3"/>
      <c r="G394" s="3"/>
    </row>
    <row r="395" spans="3:7" ht="13.2">
      <c r="C395" s="2"/>
      <c r="D395" s="3"/>
      <c r="E395" s="3"/>
      <c r="F395" s="3"/>
      <c r="G395" s="3"/>
    </row>
    <row r="396" spans="3:7" ht="13.2">
      <c r="C396" s="2"/>
      <c r="D396" s="3"/>
      <c r="E396" s="3"/>
      <c r="F396" s="3"/>
      <c r="G396" s="3"/>
    </row>
    <row r="397" spans="3:7" ht="13.2">
      <c r="C397" s="2"/>
      <c r="D397" s="3"/>
      <c r="E397" s="3"/>
      <c r="F397" s="3"/>
      <c r="G397" s="3"/>
    </row>
    <row r="398" spans="3:7" ht="13.2">
      <c r="C398" s="2"/>
      <c r="D398" s="3"/>
      <c r="E398" s="3"/>
      <c r="F398" s="3"/>
      <c r="G398" s="3"/>
    </row>
    <row r="399" spans="3:7" ht="13.2">
      <c r="C399" s="2"/>
      <c r="D399" s="3"/>
      <c r="E399" s="3"/>
      <c r="F399" s="3"/>
      <c r="G399" s="3"/>
    </row>
    <row r="400" spans="3:7" ht="13.2">
      <c r="C400" s="2"/>
      <c r="D400" s="3"/>
      <c r="E400" s="3"/>
      <c r="F400" s="3"/>
      <c r="G400" s="3"/>
    </row>
    <row r="401" spans="3:7" ht="13.2">
      <c r="C401" s="2"/>
      <c r="D401" s="3"/>
      <c r="E401" s="3"/>
      <c r="F401" s="3"/>
      <c r="G401" s="3"/>
    </row>
    <row r="402" spans="3:7" ht="13.2">
      <c r="C402" s="2"/>
      <c r="D402" s="3"/>
      <c r="E402" s="3"/>
      <c r="F402" s="3"/>
      <c r="G402" s="3"/>
    </row>
    <row r="403" spans="3:7" ht="13.2">
      <c r="C403" s="2"/>
      <c r="D403" s="3"/>
      <c r="E403" s="3"/>
      <c r="F403" s="3"/>
      <c r="G403" s="3"/>
    </row>
    <row r="404" spans="3:7" ht="13.2">
      <c r="C404" s="2"/>
      <c r="D404" s="3"/>
      <c r="E404" s="3"/>
      <c r="F404" s="3"/>
      <c r="G404" s="3"/>
    </row>
    <row r="405" spans="3:7" ht="13.2">
      <c r="C405" s="2"/>
      <c r="D405" s="3"/>
      <c r="E405" s="3"/>
      <c r="F405" s="3"/>
      <c r="G405" s="3"/>
    </row>
    <row r="406" spans="3:7" ht="13.2">
      <c r="C406" s="2"/>
      <c r="D406" s="3"/>
      <c r="E406" s="3"/>
      <c r="F406" s="3"/>
      <c r="G406" s="3"/>
    </row>
    <row r="407" spans="3:7" ht="13.2">
      <c r="C407" s="2"/>
      <c r="D407" s="3"/>
      <c r="E407" s="3"/>
      <c r="F407" s="3"/>
      <c r="G407" s="3"/>
    </row>
    <row r="408" spans="3:7" ht="13.2">
      <c r="C408" s="2"/>
      <c r="D408" s="3"/>
      <c r="E408" s="3"/>
      <c r="F408" s="3"/>
      <c r="G408" s="3"/>
    </row>
    <row r="409" spans="3:7" ht="13.2">
      <c r="C409" s="2"/>
      <c r="D409" s="3"/>
      <c r="E409" s="3"/>
      <c r="F409" s="3"/>
      <c r="G409" s="3"/>
    </row>
    <row r="410" spans="3:7" ht="13.2">
      <c r="C410" s="2"/>
      <c r="D410" s="3"/>
      <c r="E410" s="3"/>
      <c r="F410" s="3"/>
      <c r="G410" s="3"/>
    </row>
    <row r="411" spans="3:7" ht="13.2">
      <c r="C411" s="2"/>
      <c r="D411" s="3"/>
      <c r="E411" s="3"/>
      <c r="F411" s="3"/>
      <c r="G411" s="3"/>
    </row>
    <row r="412" spans="3:7" ht="13.2">
      <c r="C412" s="2"/>
      <c r="D412" s="3"/>
      <c r="E412" s="3"/>
      <c r="F412" s="3"/>
      <c r="G412" s="3"/>
    </row>
    <row r="413" spans="3:7" ht="13.2">
      <c r="C413" s="2"/>
      <c r="D413" s="3"/>
      <c r="E413" s="3"/>
      <c r="F413" s="3"/>
      <c r="G413" s="3"/>
    </row>
    <row r="414" spans="3:7" ht="13.2">
      <c r="C414" s="2"/>
      <c r="D414" s="3"/>
      <c r="E414" s="3"/>
      <c r="F414" s="3"/>
      <c r="G414" s="3"/>
    </row>
    <row r="415" spans="3:7" ht="13.2">
      <c r="C415" s="2"/>
      <c r="D415" s="3"/>
      <c r="E415" s="3"/>
      <c r="F415" s="3"/>
      <c r="G415" s="3"/>
    </row>
    <row r="416" spans="3:7" ht="13.2">
      <c r="C416" s="2"/>
      <c r="D416" s="3"/>
      <c r="E416" s="3"/>
      <c r="F416" s="3"/>
      <c r="G416" s="3"/>
    </row>
    <row r="417" spans="3:7" ht="13.2">
      <c r="C417" s="2"/>
      <c r="D417" s="3"/>
      <c r="E417" s="3"/>
      <c r="F417" s="3"/>
      <c r="G417" s="3"/>
    </row>
    <row r="418" spans="3:7" ht="13.2">
      <c r="C418" s="2"/>
      <c r="D418" s="3"/>
      <c r="E418" s="3"/>
      <c r="F418" s="3"/>
      <c r="G418" s="3"/>
    </row>
    <row r="419" spans="3:7" ht="13.2">
      <c r="C419" s="2"/>
      <c r="D419" s="3"/>
      <c r="E419" s="3"/>
      <c r="F419" s="3"/>
      <c r="G419" s="3"/>
    </row>
    <row r="420" spans="3:7" ht="13.2">
      <c r="C420" s="2"/>
      <c r="D420" s="3"/>
      <c r="E420" s="3"/>
      <c r="F420" s="3"/>
      <c r="G420" s="3"/>
    </row>
    <row r="421" spans="3:7" ht="13.2">
      <c r="C421" s="2"/>
      <c r="D421" s="3"/>
      <c r="E421" s="3"/>
      <c r="F421" s="3"/>
      <c r="G421" s="3"/>
    </row>
    <row r="422" spans="3:7" ht="13.2">
      <c r="C422" s="2"/>
      <c r="D422" s="3"/>
      <c r="E422" s="3"/>
      <c r="F422" s="3"/>
      <c r="G422" s="3"/>
    </row>
    <row r="423" spans="3:7" ht="13.2">
      <c r="C423" s="2"/>
      <c r="D423" s="3"/>
      <c r="E423" s="3"/>
      <c r="F423" s="3"/>
      <c r="G423" s="3"/>
    </row>
    <row r="424" spans="3:7" ht="13.2">
      <c r="C424" s="2"/>
      <c r="D424" s="3"/>
      <c r="E424" s="3"/>
      <c r="F424" s="3"/>
      <c r="G424" s="3"/>
    </row>
    <row r="425" spans="3:7" ht="13.2">
      <c r="C425" s="2"/>
      <c r="D425" s="3"/>
      <c r="E425" s="3"/>
      <c r="F425" s="3"/>
      <c r="G425" s="3"/>
    </row>
    <row r="426" spans="3:7" ht="13.2">
      <c r="C426" s="2"/>
      <c r="D426" s="3"/>
      <c r="E426" s="3"/>
      <c r="F426" s="3"/>
      <c r="G426" s="3"/>
    </row>
    <row r="427" spans="3:7" ht="13.2">
      <c r="C427" s="2"/>
      <c r="D427" s="3"/>
      <c r="E427" s="3"/>
      <c r="F427" s="3"/>
      <c r="G427" s="3"/>
    </row>
    <row r="428" spans="3:7" ht="13.2">
      <c r="C428" s="2"/>
      <c r="D428" s="3"/>
      <c r="E428" s="3"/>
      <c r="F428" s="3"/>
      <c r="G428" s="3"/>
    </row>
    <row r="429" spans="3:7" ht="13.2">
      <c r="C429" s="2"/>
      <c r="D429" s="3"/>
      <c r="E429" s="3"/>
      <c r="F429" s="3"/>
      <c r="G429" s="3"/>
    </row>
    <row r="430" spans="3:7" ht="13.2">
      <c r="C430" s="2"/>
      <c r="D430" s="3"/>
      <c r="E430" s="3"/>
      <c r="F430" s="3"/>
      <c r="G430" s="3"/>
    </row>
    <row r="431" spans="3:7" ht="13.2">
      <c r="C431" s="2"/>
      <c r="D431" s="3"/>
      <c r="E431" s="3"/>
      <c r="F431" s="3"/>
      <c r="G431" s="3"/>
    </row>
    <row r="432" spans="3:7" ht="13.2">
      <c r="C432" s="2"/>
      <c r="D432" s="3"/>
      <c r="E432" s="3"/>
      <c r="F432" s="3"/>
      <c r="G432" s="3"/>
    </row>
    <row r="433" spans="3:7" ht="13.2">
      <c r="C433" s="2"/>
      <c r="D433" s="3"/>
      <c r="E433" s="3"/>
      <c r="F433" s="3"/>
      <c r="G433" s="3"/>
    </row>
    <row r="434" spans="3:7" ht="13.2">
      <c r="C434" s="2"/>
      <c r="D434" s="3"/>
      <c r="E434" s="3"/>
      <c r="F434" s="3"/>
      <c r="G434" s="3"/>
    </row>
    <row r="435" spans="3:7" ht="13.2">
      <c r="C435" s="2"/>
      <c r="D435" s="3"/>
      <c r="E435" s="3"/>
      <c r="F435" s="3"/>
      <c r="G435" s="3"/>
    </row>
    <row r="436" spans="3:7" ht="13.2">
      <c r="C436" s="2"/>
      <c r="D436" s="3"/>
      <c r="E436" s="3"/>
      <c r="F436" s="3"/>
      <c r="G436" s="3"/>
    </row>
    <row r="437" spans="3:7" ht="13.2">
      <c r="C437" s="2"/>
      <c r="D437" s="3"/>
      <c r="E437" s="3"/>
      <c r="F437" s="3"/>
      <c r="G437" s="3"/>
    </row>
    <row r="438" spans="3:7" ht="13.2">
      <c r="C438" s="2"/>
      <c r="D438" s="3"/>
      <c r="E438" s="3"/>
      <c r="F438" s="3"/>
      <c r="G438" s="3"/>
    </row>
    <row r="439" spans="3:7" ht="13.2">
      <c r="C439" s="2"/>
      <c r="D439" s="3"/>
      <c r="E439" s="3"/>
      <c r="F439" s="3"/>
      <c r="G439" s="3"/>
    </row>
    <row r="440" spans="3:7" ht="13.2">
      <c r="C440" s="2"/>
      <c r="D440" s="3"/>
      <c r="E440" s="3"/>
      <c r="F440" s="3"/>
      <c r="G440" s="3"/>
    </row>
    <row r="441" spans="3:7" ht="13.2">
      <c r="C441" s="2"/>
      <c r="D441" s="3"/>
      <c r="E441" s="3"/>
      <c r="F441" s="3"/>
      <c r="G441" s="3"/>
    </row>
    <row r="442" spans="3:7" ht="13.2">
      <c r="C442" s="2"/>
      <c r="D442" s="3"/>
      <c r="E442" s="3"/>
      <c r="F442" s="3"/>
      <c r="G442" s="3"/>
    </row>
    <row r="443" spans="3:7" ht="13.2">
      <c r="C443" s="2"/>
      <c r="D443" s="3"/>
      <c r="E443" s="3"/>
      <c r="F443" s="3"/>
      <c r="G443" s="3"/>
    </row>
    <row r="444" spans="3:7" ht="13.2">
      <c r="C444" s="2"/>
      <c r="D444" s="3"/>
      <c r="E444" s="3"/>
      <c r="F444" s="3"/>
      <c r="G444" s="3"/>
    </row>
    <row r="445" spans="3:7" ht="13.2">
      <c r="C445" s="2"/>
      <c r="D445" s="3"/>
      <c r="E445" s="3"/>
      <c r="F445" s="3"/>
      <c r="G445" s="3"/>
    </row>
    <row r="446" spans="3:7" ht="13.2">
      <c r="C446" s="2"/>
      <c r="D446" s="3"/>
      <c r="E446" s="3"/>
      <c r="F446" s="3"/>
      <c r="G446" s="3"/>
    </row>
    <row r="447" spans="3:7" ht="13.2">
      <c r="C447" s="2"/>
      <c r="D447" s="3"/>
      <c r="E447" s="3"/>
      <c r="F447" s="3"/>
      <c r="G447" s="3"/>
    </row>
    <row r="448" spans="3:7" ht="13.2">
      <c r="C448" s="2"/>
      <c r="D448" s="3"/>
      <c r="E448" s="3"/>
      <c r="F448" s="3"/>
      <c r="G448" s="3"/>
    </row>
    <row r="449" spans="3:7" ht="13.2">
      <c r="C449" s="2"/>
      <c r="D449" s="3"/>
      <c r="E449" s="3"/>
      <c r="F449" s="3"/>
      <c r="G449" s="3"/>
    </row>
    <row r="450" spans="3:7" ht="13.2">
      <c r="C450" s="2"/>
      <c r="D450" s="3"/>
      <c r="E450" s="3"/>
      <c r="F450" s="3"/>
      <c r="G450" s="3"/>
    </row>
    <row r="451" spans="3:7" ht="13.2">
      <c r="C451" s="2"/>
      <c r="D451" s="3"/>
      <c r="E451" s="3"/>
      <c r="F451" s="3"/>
      <c r="G451" s="3"/>
    </row>
    <row r="452" spans="3:7" ht="13.2">
      <c r="C452" s="2"/>
      <c r="D452" s="3"/>
      <c r="E452" s="3"/>
      <c r="F452" s="3"/>
      <c r="G452" s="3"/>
    </row>
    <row r="453" spans="3:7" ht="13.2">
      <c r="C453" s="2"/>
      <c r="D453" s="3"/>
      <c r="E453" s="3"/>
      <c r="F453" s="3"/>
      <c r="G453" s="3"/>
    </row>
    <row r="454" spans="3:7" ht="13.2">
      <c r="C454" s="2"/>
      <c r="D454" s="3"/>
      <c r="E454" s="3"/>
      <c r="F454" s="3"/>
      <c r="G454" s="3"/>
    </row>
    <row r="455" spans="3:7" ht="13.2">
      <c r="C455" s="2"/>
      <c r="D455" s="3"/>
      <c r="E455" s="3"/>
      <c r="F455" s="3"/>
      <c r="G455" s="3"/>
    </row>
    <row r="456" spans="3:7" ht="13.2">
      <c r="C456" s="2"/>
      <c r="D456" s="3"/>
      <c r="E456" s="3"/>
      <c r="F456" s="3"/>
      <c r="G456" s="3"/>
    </row>
    <row r="457" spans="3:7" ht="13.2">
      <c r="C457" s="2"/>
      <c r="D457" s="3"/>
      <c r="E457" s="3"/>
      <c r="F457" s="3"/>
      <c r="G457" s="3"/>
    </row>
    <row r="458" spans="3:7" ht="13.2">
      <c r="C458" s="2"/>
      <c r="D458" s="3"/>
      <c r="E458" s="3"/>
      <c r="F458" s="3"/>
      <c r="G458" s="3"/>
    </row>
    <row r="459" spans="3:7" ht="13.2">
      <c r="C459" s="2"/>
      <c r="D459" s="3"/>
      <c r="E459" s="3"/>
      <c r="F459" s="3"/>
      <c r="G459" s="3"/>
    </row>
    <row r="460" spans="3:7" ht="13.2">
      <c r="C460" s="2"/>
      <c r="D460" s="3"/>
      <c r="E460" s="3"/>
      <c r="F460" s="3"/>
      <c r="G460" s="3"/>
    </row>
    <row r="461" spans="3:7" ht="13.2">
      <c r="C461" s="2"/>
      <c r="D461" s="3"/>
      <c r="E461" s="3"/>
      <c r="F461" s="3"/>
      <c r="G461" s="3"/>
    </row>
    <row r="462" spans="3:7" ht="13.2">
      <c r="C462" s="2"/>
      <c r="D462" s="3"/>
      <c r="E462" s="3"/>
      <c r="F462" s="3"/>
      <c r="G462" s="3"/>
    </row>
    <row r="463" spans="3:7" ht="13.2">
      <c r="C463" s="2"/>
      <c r="D463" s="3"/>
      <c r="E463" s="3"/>
      <c r="F463" s="3"/>
      <c r="G463" s="3"/>
    </row>
    <row r="464" spans="3:7" ht="13.2">
      <c r="C464" s="2"/>
      <c r="D464" s="3"/>
      <c r="E464" s="3"/>
      <c r="F464" s="3"/>
      <c r="G464" s="3"/>
    </row>
    <row r="465" spans="3:7" ht="13.2">
      <c r="C465" s="2"/>
      <c r="D465" s="3"/>
      <c r="E465" s="3"/>
      <c r="F465" s="3"/>
      <c r="G465" s="3"/>
    </row>
    <row r="466" spans="3:7" ht="13.2">
      <c r="C466" s="2"/>
      <c r="D466" s="3"/>
      <c r="E466" s="3"/>
      <c r="F466" s="3"/>
      <c r="G466" s="3"/>
    </row>
    <row r="467" spans="3:7" ht="13.2">
      <c r="C467" s="2"/>
      <c r="D467" s="3"/>
      <c r="E467" s="3"/>
      <c r="F467" s="3"/>
      <c r="G467" s="3"/>
    </row>
    <row r="468" spans="3:7" ht="13.2">
      <c r="C468" s="2"/>
      <c r="D468" s="3"/>
      <c r="E468" s="3"/>
      <c r="F468" s="3"/>
      <c r="G468" s="3"/>
    </row>
    <row r="469" spans="3:7" ht="13.2">
      <c r="C469" s="2"/>
      <c r="D469" s="3"/>
      <c r="E469" s="3"/>
      <c r="F469" s="3"/>
      <c r="G469" s="3"/>
    </row>
    <row r="470" spans="3:7" ht="13.2">
      <c r="C470" s="2"/>
      <c r="D470" s="3"/>
      <c r="E470" s="3"/>
      <c r="F470" s="3"/>
      <c r="G470" s="3"/>
    </row>
    <row r="471" spans="3:7" ht="13.2">
      <c r="C471" s="2"/>
      <c r="D471" s="3"/>
      <c r="E471" s="3"/>
      <c r="F471" s="3"/>
      <c r="G471" s="3"/>
    </row>
    <row r="472" spans="3:7" ht="13.2">
      <c r="C472" s="2"/>
      <c r="D472" s="3"/>
      <c r="E472" s="3"/>
      <c r="F472" s="3"/>
      <c r="G472" s="3"/>
    </row>
    <row r="473" spans="3:7" ht="13.2">
      <c r="C473" s="2"/>
      <c r="D473" s="3"/>
      <c r="E473" s="3"/>
      <c r="F473" s="3"/>
      <c r="G473" s="3"/>
    </row>
    <row r="474" spans="3:7" ht="13.2">
      <c r="C474" s="2"/>
      <c r="D474" s="3"/>
      <c r="E474" s="3"/>
      <c r="F474" s="3"/>
      <c r="G474" s="3"/>
    </row>
    <row r="475" spans="3:7" ht="13.2">
      <c r="C475" s="2"/>
      <c r="D475" s="3"/>
      <c r="E475" s="3"/>
      <c r="F475" s="3"/>
      <c r="G475" s="3"/>
    </row>
    <row r="476" spans="3:7" ht="13.2">
      <c r="C476" s="2"/>
      <c r="D476" s="3"/>
      <c r="E476" s="3"/>
      <c r="F476" s="3"/>
      <c r="G476" s="3"/>
    </row>
    <row r="477" spans="3:7" ht="13.2">
      <c r="C477" s="2"/>
      <c r="D477" s="3"/>
      <c r="E477" s="3"/>
      <c r="F477" s="3"/>
      <c r="G477" s="3"/>
    </row>
    <row r="478" spans="3:7" ht="13.2">
      <c r="C478" s="2"/>
      <c r="D478" s="3"/>
      <c r="E478" s="3"/>
      <c r="F478" s="3"/>
      <c r="G478" s="3"/>
    </row>
    <row r="479" spans="3:7" ht="13.2">
      <c r="C479" s="2"/>
      <c r="D479" s="3"/>
      <c r="E479" s="3"/>
      <c r="F479" s="3"/>
      <c r="G479" s="3"/>
    </row>
    <row r="480" spans="3:7" ht="13.2">
      <c r="C480" s="2"/>
      <c r="D480" s="3"/>
      <c r="E480" s="3"/>
      <c r="F480" s="3"/>
      <c r="G480" s="3"/>
    </row>
    <row r="481" spans="3:7" ht="13.2">
      <c r="C481" s="2"/>
      <c r="D481" s="3"/>
      <c r="E481" s="3"/>
      <c r="F481" s="3"/>
      <c r="G481" s="3"/>
    </row>
    <row r="482" spans="3:7" ht="13.2">
      <c r="C482" s="2"/>
      <c r="D482" s="3"/>
      <c r="E482" s="3"/>
      <c r="F482" s="3"/>
      <c r="G482" s="3"/>
    </row>
    <row r="483" spans="3:7" ht="13.2">
      <c r="C483" s="2"/>
      <c r="D483" s="3"/>
      <c r="E483" s="3"/>
      <c r="F483" s="3"/>
      <c r="G483" s="3"/>
    </row>
    <row r="484" spans="3:7" ht="13.2">
      <c r="C484" s="2"/>
      <c r="D484" s="3"/>
      <c r="E484" s="3"/>
      <c r="F484" s="3"/>
      <c r="G484" s="3"/>
    </row>
    <row r="485" spans="3:7" ht="13.2">
      <c r="C485" s="2"/>
      <c r="D485" s="3"/>
      <c r="E485" s="3"/>
      <c r="F485" s="3"/>
      <c r="G485" s="3"/>
    </row>
    <row r="486" spans="3:7" ht="13.2">
      <c r="C486" s="2"/>
      <c r="D486" s="3"/>
      <c r="E486" s="3"/>
      <c r="F486" s="3"/>
      <c r="G486" s="3"/>
    </row>
    <row r="487" spans="3:7" ht="13.2">
      <c r="C487" s="2"/>
      <c r="D487" s="3"/>
      <c r="E487" s="3"/>
      <c r="F487" s="3"/>
      <c r="G487" s="3"/>
    </row>
    <row r="488" spans="3:7" ht="13.2">
      <c r="C488" s="2"/>
      <c r="D488" s="3"/>
      <c r="E488" s="3"/>
      <c r="F488" s="3"/>
      <c r="G488" s="3"/>
    </row>
    <row r="489" spans="3:7" ht="13.2">
      <c r="C489" s="2"/>
      <c r="D489" s="3"/>
      <c r="E489" s="3"/>
      <c r="F489" s="3"/>
      <c r="G489" s="3"/>
    </row>
    <row r="490" spans="3:7" ht="13.2">
      <c r="C490" s="2"/>
      <c r="D490" s="3"/>
      <c r="E490" s="3"/>
      <c r="F490" s="3"/>
      <c r="G490" s="3"/>
    </row>
    <row r="491" spans="3:7" ht="13.2">
      <c r="C491" s="2"/>
      <c r="D491" s="3"/>
      <c r="E491" s="3"/>
      <c r="F491" s="3"/>
      <c r="G491" s="3"/>
    </row>
    <row r="492" spans="3:7" ht="13.2">
      <c r="C492" s="2"/>
      <c r="D492" s="3"/>
      <c r="E492" s="3"/>
      <c r="F492" s="3"/>
      <c r="G492" s="3"/>
    </row>
    <row r="493" spans="3:7" ht="13.2">
      <c r="C493" s="2"/>
      <c r="D493" s="3"/>
      <c r="E493" s="3"/>
      <c r="F493" s="3"/>
      <c r="G493" s="3"/>
    </row>
    <row r="494" spans="3:7" ht="13.2">
      <c r="C494" s="2"/>
      <c r="D494" s="3"/>
      <c r="E494" s="3"/>
      <c r="F494" s="3"/>
      <c r="G494" s="3"/>
    </row>
    <row r="495" spans="3:7" ht="13.2">
      <c r="C495" s="2"/>
      <c r="D495" s="3"/>
      <c r="E495" s="3"/>
      <c r="F495" s="3"/>
      <c r="G495" s="3"/>
    </row>
    <row r="496" spans="3:7" ht="13.2">
      <c r="C496" s="2"/>
      <c r="D496" s="3"/>
      <c r="E496" s="3"/>
      <c r="F496" s="3"/>
      <c r="G496" s="3"/>
    </row>
    <row r="497" spans="3:7" ht="13.2">
      <c r="C497" s="2"/>
      <c r="D497" s="3"/>
      <c r="E497" s="3"/>
      <c r="F497" s="3"/>
      <c r="G497" s="3"/>
    </row>
    <row r="498" spans="3:7" ht="13.2">
      <c r="C498" s="2"/>
      <c r="D498" s="3"/>
      <c r="E498" s="3"/>
      <c r="F498" s="3"/>
      <c r="G498" s="3"/>
    </row>
    <row r="499" spans="3:7" ht="13.2">
      <c r="C499" s="2"/>
      <c r="D499" s="3"/>
      <c r="E499" s="3"/>
      <c r="F499" s="3"/>
      <c r="G499" s="3"/>
    </row>
    <row r="500" spans="3:7" ht="13.2">
      <c r="C500" s="2"/>
      <c r="D500" s="3"/>
      <c r="E500" s="3"/>
      <c r="F500" s="3"/>
      <c r="G500" s="3"/>
    </row>
    <row r="501" spans="3:7" ht="13.2">
      <c r="C501" s="2"/>
      <c r="D501" s="3"/>
      <c r="E501" s="3"/>
      <c r="F501" s="3"/>
      <c r="G501" s="3"/>
    </row>
    <row r="502" spans="3:7" ht="13.2">
      <c r="C502" s="2"/>
      <c r="D502" s="3"/>
      <c r="E502" s="3"/>
      <c r="F502" s="3"/>
      <c r="G502" s="3"/>
    </row>
    <row r="503" spans="3:7" ht="13.2">
      <c r="C503" s="2"/>
      <c r="D503" s="3"/>
      <c r="E503" s="3"/>
      <c r="F503" s="3"/>
      <c r="G503" s="3"/>
    </row>
    <row r="504" spans="3:7" ht="13.2">
      <c r="C504" s="2"/>
      <c r="D504" s="3"/>
      <c r="E504" s="3"/>
      <c r="F504" s="3"/>
      <c r="G504" s="3"/>
    </row>
    <row r="505" spans="3:7" ht="13.2">
      <c r="C505" s="2"/>
      <c r="D505" s="3"/>
      <c r="E505" s="3"/>
      <c r="F505" s="3"/>
      <c r="G505" s="3"/>
    </row>
    <row r="506" spans="3:7" ht="13.2">
      <c r="C506" s="2"/>
      <c r="D506" s="3"/>
      <c r="E506" s="3"/>
      <c r="F506" s="3"/>
      <c r="G506" s="3"/>
    </row>
    <row r="507" spans="3:7" ht="13.2">
      <c r="C507" s="2"/>
      <c r="D507" s="3"/>
      <c r="E507" s="3"/>
      <c r="F507" s="3"/>
      <c r="G507" s="3"/>
    </row>
    <row r="508" spans="3:7" ht="13.2">
      <c r="C508" s="2"/>
      <c r="D508" s="3"/>
      <c r="E508" s="3"/>
      <c r="F508" s="3"/>
      <c r="G508" s="3"/>
    </row>
    <row r="509" spans="3:7" ht="13.2">
      <c r="C509" s="2"/>
      <c r="D509" s="3"/>
      <c r="E509" s="3"/>
      <c r="F509" s="3"/>
      <c r="G509" s="3"/>
    </row>
    <row r="510" spans="3:7" ht="13.2">
      <c r="C510" s="2"/>
      <c r="D510" s="3"/>
      <c r="E510" s="3"/>
      <c r="F510" s="3"/>
      <c r="G510" s="3"/>
    </row>
    <row r="511" spans="3:7" ht="13.2">
      <c r="C511" s="2"/>
      <c r="D511" s="3"/>
      <c r="E511" s="3"/>
      <c r="F511" s="3"/>
      <c r="G511" s="3"/>
    </row>
    <row r="512" spans="3:7" ht="13.2">
      <c r="C512" s="2"/>
      <c r="D512" s="3"/>
      <c r="E512" s="3"/>
      <c r="F512" s="3"/>
      <c r="G512" s="3"/>
    </row>
    <row r="513" spans="3:7" ht="13.2">
      <c r="C513" s="2"/>
      <c r="D513" s="3"/>
      <c r="E513" s="3"/>
      <c r="F513" s="3"/>
      <c r="G513" s="3"/>
    </row>
    <row r="514" spans="3:7" ht="13.2">
      <c r="C514" s="2"/>
      <c r="D514" s="3"/>
      <c r="E514" s="3"/>
      <c r="F514" s="3"/>
      <c r="G514" s="3"/>
    </row>
    <row r="515" spans="3:7" ht="13.2">
      <c r="C515" s="2"/>
      <c r="D515" s="3"/>
      <c r="E515" s="3"/>
      <c r="F515" s="3"/>
      <c r="G515" s="3"/>
    </row>
    <row r="516" spans="3:7" ht="13.2">
      <c r="C516" s="2"/>
      <c r="D516" s="3"/>
      <c r="E516" s="3"/>
      <c r="F516" s="3"/>
      <c r="G516" s="3"/>
    </row>
    <row r="517" spans="3:7" ht="13.2">
      <c r="C517" s="2"/>
      <c r="D517" s="3"/>
      <c r="E517" s="3"/>
      <c r="F517" s="3"/>
      <c r="G517" s="3"/>
    </row>
    <row r="518" spans="3:7" ht="13.2">
      <c r="C518" s="2"/>
      <c r="D518" s="3"/>
      <c r="E518" s="3"/>
      <c r="F518" s="3"/>
      <c r="G518" s="3"/>
    </row>
    <row r="519" spans="3:7" ht="13.2">
      <c r="C519" s="2"/>
      <c r="D519" s="3"/>
      <c r="E519" s="3"/>
      <c r="F519" s="3"/>
      <c r="G519" s="3"/>
    </row>
    <row r="520" spans="3:7" ht="13.2">
      <c r="C520" s="2"/>
      <c r="D520" s="3"/>
      <c r="E520" s="3"/>
      <c r="F520" s="3"/>
      <c r="G520" s="3"/>
    </row>
    <row r="521" spans="3:7" ht="13.2">
      <c r="C521" s="2"/>
      <c r="D521" s="3"/>
      <c r="E521" s="3"/>
      <c r="F521" s="3"/>
      <c r="G521" s="3"/>
    </row>
    <row r="522" spans="3:7" ht="13.2">
      <c r="C522" s="2"/>
      <c r="D522" s="3"/>
      <c r="E522" s="3"/>
      <c r="F522" s="3"/>
      <c r="G522" s="3"/>
    </row>
    <row r="523" spans="3:7" ht="13.2">
      <c r="C523" s="2"/>
      <c r="D523" s="3"/>
      <c r="E523" s="3"/>
      <c r="F523" s="3"/>
      <c r="G523" s="3"/>
    </row>
    <row r="524" spans="3:7" ht="13.2">
      <c r="C524" s="2"/>
      <c r="D524" s="3"/>
      <c r="E524" s="3"/>
      <c r="F524" s="3"/>
      <c r="G524" s="3"/>
    </row>
    <row r="525" spans="3:7" ht="13.2">
      <c r="C525" s="2"/>
      <c r="D525" s="3"/>
      <c r="E525" s="3"/>
      <c r="F525" s="3"/>
      <c r="G525" s="3"/>
    </row>
    <row r="526" spans="3:7" ht="13.2">
      <c r="C526" s="2"/>
      <c r="D526" s="3"/>
      <c r="E526" s="3"/>
      <c r="F526" s="3"/>
      <c r="G526" s="3"/>
    </row>
    <row r="527" spans="3:7" ht="13.2">
      <c r="C527" s="2"/>
      <c r="D527" s="3"/>
      <c r="E527" s="3"/>
      <c r="F527" s="3"/>
      <c r="G527" s="3"/>
    </row>
    <row r="528" spans="3:7" ht="13.2">
      <c r="C528" s="2"/>
      <c r="D528" s="3"/>
      <c r="E528" s="3"/>
      <c r="F528" s="3"/>
      <c r="G528" s="3"/>
    </row>
    <row r="529" spans="3:7" ht="13.2">
      <c r="C529" s="2"/>
      <c r="D529" s="3"/>
      <c r="E529" s="3"/>
      <c r="F529" s="3"/>
      <c r="G529" s="3"/>
    </row>
    <row r="530" spans="3:7" ht="13.2">
      <c r="C530" s="2"/>
      <c r="D530" s="3"/>
      <c r="E530" s="3"/>
      <c r="F530" s="3"/>
      <c r="G530" s="3"/>
    </row>
    <row r="531" spans="3:7" ht="13.2">
      <c r="C531" s="2"/>
      <c r="D531" s="3"/>
      <c r="E531" s="3"/>
      <c r="F531" s="3"/>
      <c r="G531" s="3"/>
    </row>
    <row r="532" spans="3:7" ht="13.2">
      <c r="C532" s="2"/>
      <c r="D532" s="3"/>
      <c r="E532" s="3"/>
      <c r="F532" s="3"/>
      <c r="G532" s="3"/>
    </row>
    <row r="533" spans="3:7" ht="13.2">
      <c r="C533" s="2"/>
      <c r="D533" s="3"/>
      <c r="E533" s="3"/>
      <c r="F533" s="3"/>
      <c r="G533" s="3"/>
    </row>
    <row r="534" spans="3:7" ht="13.2">
      <c r="C534" s="2"/>
      <c r="D534" s="3"/>
      <c r="E534" s="3"/>
      <c r="F534" s="3"/>
      <c r="G534" s="3"/>
    </row>
    <row r="535" spans="3:7" ht="13.2">
      <c r="C535" s="2"/>
      <c r="D535" s="3"/>
      <c r="E535" s="3"/>
      <c r="F535" s="3"/>
      <c r="G535" s="3"/>
    </row>
    <row r="536" spans="3:7" ht="13.2">
      <c r="C536" s="2"/>
      <c r="D536" s="3"/>
      <c r="E536" s="3"/>
      <c r="F536" s="3"/>
      <c r="G536" s="3"/>
    </row>
    <row r="537" spans="3:7" ht="13.2">
      <c r="C537" s="2"/>
      <c r="D537" s="3"/>
      <c r="E537" s="3"/>
      <c r="F537" s="3"/>
      <c r="G537" s="3"/>
    </row>
    <row r="538" spans="3:7" ht="13.2">
      <c r="C538" s="2"/>
      <c r="D538" s="3"/>
      <c r="E538" s="3"/>
      <c r="F538" s="3"/>
      <c r="G538" s="3"/>
    </row>
    <row r="539" spans="3:7" ht="13.2">
      <c r="C539" s="2"/>
      <c r="D539" s="3"/>
      <c r="E539" s="3"/>
      <c r="F539" s="3"/>
      <c r="G539" s="3"/>
    </row>
    <row r="540" spans="3:7" ht="13.2">
      <c r="C540" s="2"/>
      <c r="D540" s="3"/>
      <c r="E540" s="3"/>
      <c r="F540" s="3"/>
      <c r="G540" s="3"/>
    </row>
    <row r="541" spans="3:7" ht="13.2">
      <c r="C541" s="2"/>
      <c r="D541" s="3"/>
      <c r="E541" s="3"/>
      <c r="F541" s="3"/>
      <c r="G541" s="3"/>
    </row>
    <row r="542" spans="3:7" ht="13.2">
      <c r="C542" s="2"/>
      <c r="D542" s="3"/>
      <c r="E542" s="3"/>
      <c r="F542" s="3"/>
      <c r="G542" s="3"/>
    </row>
    <row r="543" spans="3:7" ht="13.2">
      <c r="C543" s="2"/>
      <c r="D543" s="3"/>
      <c r="E543" s="3"/>
      <c r="F543" s="3"/>
      <c r="G543" s="3"/>
    </row>
    <row r="544" spans="3:7" ht="13.2">
      <c r="C544" s="2"/>
      <c r="D544" s="3"/>
      <c r="E544" s="3"/>
      <c r="F544" s="3"/>
      <c r="G544" s="3"/>
    </row>
    <row r="545" spans="3:7" ht="13.2">
      <c r="C545" s="2"/>
      <c r="D545" s="3"/>
      <c r="E545" s="3"/>
      <c r="F545" s="3"/>
      <c r="G545" s="3"/>
    </row>
    <row r="546" spans="3:7" ht="13.2">
      <c r="C546" s="2"/>
      <c r="D546" s="3"/>
      <c r="E546" s="3"/>
      <c r="F546" s="3"/>
      <c r="G546" s="3"/>
    </row>
    <row r="547" spans="3:7" ht="13.2">
      <c r="C547" s="2"/>
      <c r="D547" s="3"/>
      <c r="E547" s="3"/>
      <c r="F547" s="3"/>
      <c r="G547" s="3"/>
    </row>
    <row r="548" spans="3:7" ht="13.2">
      <c r="C548" s="2"/>
      <c r="D548" s="3"/>
      <c r="E548" s="3"/>
      <c r="F548" s="3"/>
      <c r="G548" s="3"/>
    </row>
    <row r="549" spans="3:7" ht="13.2">
      <c r="C549" s="2"/>
      <c r="D549" s="3"/>
      <c r="E549" s="3"/>
      <c r="F549" s="3"/>
      <c r="G549" s="3"/>
    </row>
    <row r="550" spans="3:7" ht="13.2">
      <c r="C550" s="2"/>
      <c r="D550" s="3"/>
      <c r="E550" s="3"/>
      <c r="F550" s="3"/>
      <c r="G550" s="3"/>
    </row>
    <row r="551" spans="3:7" ht="13.2">
      <c r="C551" s="2"/>
      <c r="D551" s="3"/>
      <c r="E551" s="3"/>
      <c r="F551" s="3"/>
      <c r="G551" s="3"/>
    </row>
    <row r="552" spans="3:7" ht="13.2">
      <c r="C552" s="2"/>
      <c r="D552" s="3"/>
      <c r="E552" s="3"/>
      <c r="F552" s="3"/>
      <c r="G552" s="3"/>
    </row>
    <row r="553" spans="3:7" ht="13.2">
      <c r="C553" s="2"/>
      <c r="D553" s="3"/>
      <c r="E553" s="3"/>
      <c r="F553" s="3"/>
      <c r="G553" s="3"/>
    </row>
    <row r="554" spans="3:7" ht="13.2">
      <c r="C554" s="2"/>
      <c r="D554" s="3"/>
      <c r="E554" s="3"/>
      <c r="F554" s="3"/>
      <c r="G554" s="3"/>
    </row>
    <row r="555" spans="3:7" ht="13.2">
      <c r="C555" s="2"/>
      <c r="D555" s="3"/>
      <c r="E555" s="3"/>
      <c r="F555" s="3"/>
      <c r="G555" s="3"/>
    </row>
    <row r="556" spans="3:7" ht="13.2">
      <c r="C556" s="2"/>
      <c r="D556" s="3"/>
      <c r="E556" s="3"/>
      <c r="F556" s="3"/>
      <c r="G556" s="3"/>
    </row>
    <row r="557" spans="3:7" ht="13.2">
      <c r="C557" s="2"/>
      <c r="D557" s="3"/>
      <c r="E557" s="3"/>
      <c r="F557" s="3"/>
      <c r="G557" s="3"/>
    </row>
    <row r="558" spans="3:7" ht="13.2">
      <c r="C558" s="2"/>
      <c r="D558" s="3"/>
      <c r="E558" s="3"/>
      <c r="F558" s="3"/>
      <c r="G558" s="3"/>
    </row>
    <row r="559" spans="3:7" ht="13.2">
      <c r="C559" s="2"/>
      <c r="D559" s="3"/>
      <c r="E559" s="3"/>
      <c r="F559" s="3"/>
      <c r="G559" s="3"/>
    </row>
    <row r="560" spans="3:7" ht="13.2">
      <c r="C560" s="2"/>
      <c r="D560" s="3"/>
      <c r="E560" s="3"/>
      <c r="F560" s="3"/>
      <c r="G560" s="3"/>
    </row>
    <row r="561" spans="3:7" ht="13.2">
      <c r="C561" s="2"/>
      <c r="D561" s="3"/>
      <c r="E561" s="3"/>
      <c r="F561" s="3"/>
      <c r="G561" s="3"/>
    </row>
    <row r="562" spans="3:7" ht="13.2">
      <c r="C562" s="2"/>
      <c r="D562" s="3"/>
      <c r="E562" s="3"/>
      <c r="F562" s="3"/>
      <c r="G562" s="3"/>
    </row>
    <row r="563" spans="3:7" ht="13.2">
      <c r="C563" s="2"/>
      <c r="D563" s="3"/>
      <c r="E563" s="3"/>
      <c r="F563" s="3"/>
      <c r="G563" s="3"/>
    </row>
    <row r="564" spans="3:7" ht="13.2">
      <c r="C564" s="2"/>
      <c r="D564" s="3"/>
      <c r="E564" s="3"/>
      <c r="F564" s="3"/>
      <c r="G564" s="3"/>
    </row>
    <row r="565" spans="3:7" ht="13.2">
      <c r="C565" s="2"/>
      <c r="D565" s="3"/>
      <c r="E565" s="3"/>
      <c r="F565" s="3"/>
      <c r="G565" s="3"/>
    </row>
    <row r="566" spans="3:7" ht="13.2">
      <c r="C566" s="2"/>
      <c r="D566" s="3"/>
      <c r="E566" s="3"/>
      <c r="F566" s="3"/>
      <c r="G566" s="3"/>
    </row>
    <row r="567" spans="3:7" ht="13.2">
      <c r="C567" s="2"/>
      <c r="D567" s="3"/>
      <c r="E567" s="3"/>
      <c r="F567" s="3"/>
      <c r="G567" s="3"/>
    </row>
    <row r="568" spans="3:7" ht="13.2">
      <c r="C568" s="2"/>
      <c r="D568" s="3"/>
      <c r="E568" s="3"/>
      <c r="F568" s="3"/>
      <c r="G568" s="3"/>
    </row>
    <row r="569" spans="3:7" ht="13.2">
      <c r="C569" s="2"/>
      <c r="D569" s="3"/>
      <c r="E569" s="3"/>
      <c r="F569" s="3"/>
      <c r="G569" s="3"/>
    </row>
    <row r="570" spans="3:7" ht="13.2">
      <c r="C570" s="2"/>
      <c r="D570" s="3"/>
      <c r="E570" s="3"/>
      <c r="F570" s="3"/>
      <c r="G570" s="3"/>
    </row>
    <row r="571" spans="3:7" ht="13.2">
      <c r="C571" s="2"/>
      <c r="D571" s="3"/>
      <c r="E571" s="3"/>
      <c r="F571" s="3"/>
      <c r="G571" s="3"/>
    </row>
    <row r="572" spans="3:7" ht="13.2">
      <c r="C572" s="2"/>
      <c r="D572" s="3"/>
      <c r="E572" s="3"/>
      <c r="F572" s="3"/>
      <c r="G572" s="3"/>
    </row>
    <row r="573" spans="3:7" ht="13.2">
      <c r="C573" s="2"/>
      <c r="D573" s="3"/>
      <c r="E573" s="3"/>
      <c r="F573" s="3"/>
      <c r="G573" s="3"/>
    </row>
    <row r="574" spans="3:7" ht="13.2">
      <c r="C574" s="2"/>
      <c r="D574" s="3"/>
      <c r="E574" s="3"/>
      <c r="F574" s="3"/>
      <c r="G574" s="3"/>
    </row>
    <row r="575" spans="3:7" ht="13.2">
      <c r="C575" s="2"/>
      <c r="D575" s="3"/>
      <c r="E575" s="3"/>
      <c r="F575" s="3"/>
      <c r="G575" s="3"/>
    </row>
    <row r="576" spans="3:7" ht="13.2">
      <c r="C576" s="2"/>
      <c r="D576" s="3"/>
      <c r="E576" s="3"/>
      <c r="F576" s="3"/>
      <c r="G576" s="3"/>
    </row>
    <row r="577" spans="3:7" ht="13.2">
      <c r="C577" s="2"/>
      <c r="D577" s="3"/>
      <c r="E577" s="3"/>
      <c r="F577" s="3"/>
      <c r="G577" s="3"/>
    </row>
    <row r="578" spans="3:7" ht="13.2">
      <c r="C578" s="2"/>
      <c r="D578" s="3"/>
      <c r="E578" s="3"/>
      <c r="F578" s="3"/>
      <c r="G578" s="3"/>
    </row>
    <row r="579" spans="3:7" ht="13.2">
      <c r="C579" s="2"/>
      <c r="D579" s="3"/>
      <c r="E579" s="3"/>
      <c r="F579" s="3"/>
      <c r="G579" s="3"/>
    </row>
    <row r="580" spans="3:7" ht="13.2">
      <c r="C580" s="2"/>
      <c r="D580" s="3"/>
      <c r="E580" s="3"/>
      <c r="F580" s="3"/>
      <c r="G580" s="3"/>
    </row>
    <row r="581" spans="3:7" ht="13.2">
      <c r="C581" s="2"/>
      <c r="D581" s="3"/>
      <c r="E581" s="3"/>
      <c r="F581" s="3"/>
      <c r="G581" s="3"/>
    </row>
    <row r="582" spans="3:7" ht="13.2">
      <c r="C582" s="2"/>
      <c r="D582" s="3"/>
      <c r="E582" s="3"/>
      <c r="F582" s="3"/>
      <c r="G582" s="3"/>
    </row>
    <row r="583" spans="3:7" ht="13.2">
      <c r="C583" s="2"/>
      <c r="D583" s="3"/>
      <c r="E583" s="3"/>
      <c r="F583" s="3"/>
      <c r="G583" s="3"/>
    </row>
    <row r="584" spans="3:7" ht="13.2">
      <c r="C584" s="2"/>
      <c r="D584" s="3"/>
      <c r="E584" s="3"/>
      <c r="F584" s="3"/>
      <c r="G584" s="3"/>
    </row>
    <row r="585" spans="3:7" ht="13.2">
      <c r="C585" s="2"/>
      <c r="D585" s="3"/>
      <c r="E585" s="3"/>
      <c r="F585" s="3"/>
      <c r="G585" s="3"/>
    </row>
    <row r="586" spans="3:7" ht="13.2">
      <c r="C586" s="2"/>
      <c r="D586" s="3"/>
      <c r="E586" s="3"/>
      <c r="F586" s="3"/>
      <c r="G586" s="3"/>
    </row>
    <row r="587" spans="3:7" ht="13.2">
      <c r="C587" s="2"/>
      <c r="D587" s="3"/>
      <c r="E587" s="3"/>
      <c r="F587" s="3"/>
      <c r="G587" s="3"/>
    </row>
    <row r="588" spans="3:7" ht="13.2">
      <c r="C588" s="2"/>
      <c r="D588" s="3"/>
      <c r="E588" s="3"/>
      <c r="F588" s="3"/>
      <c r="G588" s="3"/>
    </row>
    <row r="589" spans="3:7" ht="13.2">
      <c r="C589" s="2"/>
      <c r="D589" s="3"/>
      <c r="E589" s="3"/>
      <c r="F589" s="3"/>
      <c r="G589" s="3"/>
    </row>
    <row r="590" spans="3:7" ht="13.2">
      <c r="C590" s="2"/>
      <c r="D590" s="3"/>
      <c r="E590" s="3"/>
      <c r="F590" s="3"/>
      <c r="G590" s="3"/>
    </row>
    <row r="591" spans="3:7" ht="13.2">
      <c r="C591" s="2"/>
      <c r="D591" s="3"/>
      <c r="E591" s="3"/>
      <c r="F591" s="3"/>
      <c r="G591" s="3"/>
    </row>
    <row r="592" spans="3:7" ht="13.2">
      <c r="C592" s="2"/>
      <c r="D592" s="3"/>
      <c r="E592" s="3"/>
      <c r="F592" s="3"/>
      <c r="G592" s="3"/>
    </row>
    <row r="593" spans="3:7" ht="13.2">
      <c r="C593" s="2"/>
      <c r="D593" s="3"/>
      <c r="E593" s="3"/>
      <c r="F593" s="3"/>
      <c r="G593" s="3"/>
    </row>
    <row r="594" spans="3:7" ht="13.2">
      <c r="C594" s="2"/>
      <c r="D594" s="3"/>
      <c r="E594" s="3"/>
      <c r="F594" s="3"/>
      <c r="G594" s="3"/>
    </row>
    <row r="595" spans="3:7" ht="13.2">
      <c r="C595" s="2"/>
      <c r="D595" s="3"/>
      <c r="E595" s="3"/>
      <c r="F595" s="3"/>
      <c r="G595" s="3"/>
    </row>
    <row r="596" spans="3:7" ht="13.2">
      <c r="C596" s="2"/>
      <c r="D596" s="3"/>
      <c r="E596" s="3"/>
      <c r="F596" s="3"/>
      <c r="G596" s="3"/>
    </row>
    <row r="597" spans="3:7" ht="13.2">
      <c r="C597" s="2"/>
      <c r="D597" s="3"/>
      <c r="E597" s="3"/>
      <c r="F597" s="3"/>
      <c r="G597" s="3"/>
    </row>
    <row r="598" spans="3:7" ht="13.2">
      <c r="C598" s="2"/>
      <c r="D598" s="3"/>
      <c r="E598" s="3"/>
      <c r="F598" s="3"/>
      <c r="G598" s="3"/>
    </row>
    <row r="599" spans="3:7" ht="13.2">
      <c r="C599" s="2"/>
      <c r="D599" s="3"/>
      <c r="E599" s="3"/>
      <c r="F599" s="3"/>
      <c r="G599" s="3"/>
    </row>
    <row r="600" spans="3:7" ht="13.2">
      <c r="C600" s="2"/>
      <c r="D600" s="3"/>
      <c r="E600" s="3"/>
      <c r="F600" s="3"/>
      <c r="G600" s="3"/>
    </row>
    <row r="601" spans="3:7" ht="13.2">
      <c r="C601" s="2"/>
      <c r="D601" s="3"/>
      <c r="E601" s="3"/>
      <c r="F601" s="3"/>
      <c r="G601" s="3"/>
    </row>
    <row r="602" spans="3:7" ht="13.2">
      <c r="C602" s="2"/>
      <c r="D602" s="3"/>
      <c r="E602" s="3"/>
      <c r="F602" s="3"/>
      <c r="G602" s="3"/>
    </row>
    <row r="603" spans="3:7" ht="13.2">
      <c r="C603" s="2"/>
      <c r="D603" s="3"/>
      <c r="E603" s="3"/>
      <c r="F603" s="3"/>
      <c r="G603" s="3"/>
    </row>
    <row r="604" spans="3:7" ht="13.2">
      <c r="C604" s="2"/>
      <c r="D604" s="3"/>
      <c r="E604" s="3"/>
      <c r="F604" s="3"/>
      <c r="G604" s="3"/>
    </row>
    <row r="605" spans="3:7" ht="13.2">
      <c r="C605" s="2"/>
      <c r="D605" s="3"/>
      <c r="E605" s="3"/>
      <c r="F605" s="3"/>
      <c r="G605" s="3"/>
    </row>
    <row r="606" spans="3:7" ht="13.2">
      <c r="C606" s="2"/>
      <c r="D606" s="3"/>
      <c r="E606" s="3"/>
      <c r="F606" s="3"/>
      <c r="G606" s="3"/>
    </row>
    <row r="607" spans="3:7" ht="13.2">
      <c r="C607" s="2"/>
      <c r="D607" s="3"/>
      <c r="E607" s="3"/>
      <c r="F607" s="3"/>
      <c r="G607" s="3"/>
    </row>
    <row r="608" spans="3:7" ht="13.2">
      <c r="C608" s="2"/>
      <c r="D608" s="3"/>
      <c r="E608" s="3"/>
      <c r="F608" s="3"/>
      <c r="G608" s="3"/>
    </row>
    <row r="609" spans="3:7" ht="13.2">
      <c r="C609" s="2"/>
      <c r="D609" s="3"/>
      <c r="E609" s="3"/>
      <c r="F609" s="3"/>
      <c r="G609" s="3"/>
    </row>
    <row r="610" spans="3:7" ht="13.2">
      <c r="C610" s="2"/>
      <c r="D610" s="3"/>
      <c r="E610" s="3"/>
      <c r="F610" s="3"/>
      <c r="G610" s="3"/>
    </row>
    <row r="611" spans="3:7" ht="13.2">
      <c r="C611" s="2"/>
      <c r="D611" s="3"/>
      <c r="E611" s="3"/>
      <c r="F611" s="3"/>
      <c r="G611" s="3"/>
    </row>
    <row r="612" spans="3:7" ht="13.2">
      <c r="C612" s="2"/>
      <c r="D612" s="3"/>
      <c r="E612" s="3"/>
      <c r="F612" s="3"/>
      <c r="G612" s="3"/>
    </row>
    <row r="613" spans="3:7" ht="13.2">
      <c r="C613" s="2"/>
      <c r="D613" s="3"/>
      <c r="E613" s="3"/>
      <c r="F613" s="3"/>
      <c r="G613" s="3"/>
    </row>
    <row r="614" spans="3:7" ht="13.2">
      <c r="C614" s="2"/>
      <c r="D614" s="3"/>
      <c r="E614" s="3"/>
      <c r="F614" s="3"/>
      <c r="G614" s="3"/>
    </row>
    <row r="615" spans="3:7" ht="13.2">
      <c r="C615" s="2"/>
      <c r="D615" s="3"/>
      <c r="E615" s="3"/>
      <c r="F615" s="3"/>
      <c r="G615" s="3"/>
    </row>
    <row r="616" spans="3:7" ht="13.2">
      <c r="C616" s="2"/>
      <c r="D616" s="3"/>
      <c r="E616" s="3"/>
      <c r="F616" s="3"/>
      <c r="G616" s="3"/>
    </row>
    <row r="617" spans="3:7" ht="13.2">
      <c r="C617" s="2"/>
      <c r="D617" s="3"/>
      <c r="E617" s="3"/>
      <c r="F617" s="3"/>
      <c r="G617" s="3"/>
    </row>
    <row r="618" spans="3:7" ht="13.2">
      <c r="C618" s="2"/>
      <c r="D618" s="3"/>
      <c r="E618" s="3"/>
      <c r="F618" s="3"/>
      <c r="G618" s="3"/>
    </row>
    <row r="619" spans="3:7" ht="13.2">
      <c r="C619" s="2"/>
      <c r="D619" s="3"/>
      <c r="E619" s="3"/>
      <c r="F619" s="3"/>
      <c r="G619" s="3"/>
    </row>
    <row r="620" spans="3:7" ht="13.2">
      <c r="C620" s="2"/>
      <c r="D620" s="3"/>
      <c r="E620" s="3"/>
      <c r="F620" s="3"/>
      <c r="G620" s="3"/>
    </row>
    <row r="621" spans="3:7" ht="13.2">
      <c r="C621" s="2"/>
      <c r="D621" s="3"/>
      <c r="E621" s="3"/>
      <c r="F621" s="3"/>
      <c r="G621" s="3"/>
    </row>
    <row r="622" spans="3:7" ht="13.2">
      <c r="C622" s="2"/>
      <c r="D622" s="3"/>
      <c r="E622" s="3"/>
      <c r="F622" s="3"/>
      <c r="G622" s="3"/>
    </row>
    <row r="623" spans="3:7" ht="13.2">
      <c r="C623" s="2"/>
      <c r="D623" s="3"/>
      <c r="E623" s="3"/>
      <c r="F623" s="3"/>
      <c r="G623" s="3"/>
    </row>
    <row r="624" spans="3:7" ht="13.2">
      <c r="C624" s="2"/>
      <c r="D624" s="3"/>
      <c r="E624" s="3"/>
      <c r="F624" s="3"/>
      <c r="G624" s="3"/>
    </row>
    <row r="625" spans="3:7" ht="13.2">
      <c r="C625" s="2"/>
      <c r="D625" s="3"/>
      <c r="E625" s="3"/>
      <c r="F625" s="3"/>
      <c r="G625" s="3"/>
    </row>
    <row r="626" spans="3:7" ht="13.2">
      <c r="C626" s="2"/>
      <c r="D626" s="3"/>
      <c r="E626" s="3"/>
      <c r="F626" s="3"/>
      <c r="G626" s="3"/>
    </row>
    <row r="627" spans="3:7" ht="13.2">
      <c r="C627" s="2"/>
      <c r="D627" s="3"/>
      <c r="E627" s="3"/>
      <c r="F627" s="3"/>
      <c r="G627" s="3"/>
    </row>
    <row r="628" spans="3:7" ht="13.2">
      <c r="C628" s="2"/>
      <c r="D628" s="3"/>
      <c r="E628" s="3"/>
      <c r="F628" s="3"/>
      <c r="G628" s="3"/>
    </row>
    <row r="629" spans="3:7" ht="13.2">
      <c r="C629" s="2"/>
      <c r="D629" s="3"/>
      <c r="E629" s="3"/>
      <c r="F629" s="3"/>
      <c r="G629" s="3"/>
    </row>
    <row r="630" spans="3:7" ht="13.2">
      <c r="C630" s="2"/>
      <c r="D630" s="3"/>
      <c r="E630" s="3"/>
      <c r="F630" s="3"/>
      <c r="G630" s="3"/>
    </row>
    <row r="631" spans="3:7" ht="13.2">
      <c r="C631" s="2"/>
      <c r="D631" s="3"/>
      <c r="E631" s="3"/>
      <c r="F631" s="3"/>
      <c r="G631" s="3"/>
    </row>
    <row r="632" spans="3:7" ht="13.2">
      <c r="C632" s="2"/>
      <c r="D632" s="3"/>
      <c r="E632" s="3"/>
      <c r="F632" s="3"/>
      <c r="G632" s="3"/>
    </row>
    <row r="633" spans="3:7" ht="13.2">
      <c r="C633" s="2"/>
      <c r="D633" s="3"/>
      <c r="E633" s="3"/>
      <c r="F633" s="3"/>
      <c r="G633" s="3"/>
    </row>
    <row r="634" spans="3:7" ht="13.2">
      <c r="C634" s="2"/>
      <c r="D634" s="3"/>
      <c r="E634" s="3"/>
      <c r="F634" s="3"/>
      <c r="G634" s="3"/>
    </row>
    <row r="635" spans="3:7" ht="13.2">
      <c r="C635" s="2"/>
      <c r="D635" s="3"/>
      <c r="E635" s="3"/>
      <c r="F635" s="3"/>
      <c r="G635" s="3"/>
    </row>
    <row r="636" spans="3:7" ht="13.2">
      <c r="C636" s="2"/>
      <c r="D636" s="3"/>
      <c r="E636" s="3"/>
      <c r="F636" s="3"/>
      <c r="G636" s="3"/>
    </row>
    <row r="637" spans="3:7" ht="13.2">
      <c r="C637" s="2"/>
      <c r="D637" s="3"/>
      <c r="E637" s="3"/>
      <c r="F637" s="3"/>
      <c r="G637" s="3"/>
    </row>
    <row r="638" spans="3:7" ht="13.2">
      <c r="C638" s="2"/>
      <c r="D638" s="3"/>
      <c r="E638" s="3"/>
      <c r="F638" s="3"/>
      <c r="G638" s="3"/>
    </row>
    <row r="639" spans="3:7" ht="13.2">
      <c r="C639" s="2"/>
      <c r="D639" s="3"/>
      <c r="E639" s="3"/>
      <c r="F639" s="3"/>
      <c r="G639" s="3"/>
    </row>
    <row r="640" spans="3:7" ht="13.2">
      <c r="C640" s="2"/>
      <c r="D640" s="3"/>
      <c r="E640" s="3"/>
      <c r="F640" s="3"/>
      <c r="G640" s="3"/>
    </row>
    <row r="641" spans="3:7" ht="13.2">
      <c r="C641" s="2"/>
      <c r="D641" s="3"/>
      <c r="E641" s="3"/>
      <c r="F641" s="3"/>
      <c r="G641" s="3"/>
    </row>
    <row r="642" spans="3:7" ht="13.2">
      <c r="C642" s="2"/>
      <c r="D642" s="3"/>
      <c r="E642" s="3"/>
      <c r="F642" s="3"/>
      <c r="G642" s="3"/>
    </row>
    <row r="643" spans="3:7" ht="13.2">
      <c r="C643" s="2"/>
      <c r="D643" s="3"/>
      <c r="E643" s="3"/>
      <c r="F643" s="3"/>
      <c r="G643" s="3"/>
    </row>
    <row r="644" spans="3:7" ht="13.2">
      <c r="C644" s="2"/>
      <c r="D644" s="3"/>
      <c r="E644" s="3"/>
      <c r="F644" s="3"/>
      <c r="G644" s="3"/>
    </row>
    <row r="645" spans="3:7" ht="13.2">
      <c r="C645" s="2"/>
      <c r="D645" s="3"/>
      <c r="E645" s="3"/>
      <c r="F645" s="3"/>
      <c r="G645" s="3"/>
    </row>
    <row r="646" spans="3:7" ht="13.2">
      <c r="C646" s="2"/>
      <c r="D646" s="3"/>
      <c r="E646" s="3"/>
      <c r="F646" s="3"/>
      <c r="G646" s="3"/>
    </row>
    <row r="647" spans="3:7" ht="13.2">
      <c r="C647" s="2"/>
      <c r="D647" s="3"/>
      <c r="E647" s="3"/>
      <c r="F647" s="3"/>
      <c r="G647" s="3"/>
    </row>
    <row r="648" spans="3:7" ht="13.2">
      <c r="C648" s="2"/>
      <c r="D648" s="3"/>
      <c r="E648" s="3"/>
      <c r="F648" s="3"/>
      <c r="G648" s="3"/>
    </row>
    <row r="649" spans="3:7" ht="13.2">
      <c r="C649" s="2"/>
      <c r="D649" s="3"/>
      <c r="E649" s="3"/>
      <c r="F649" s="3"/>
      <c r="G649" s="3"/>
    </row>
    <row r="650" spans="3:7" ht="13.2">
      <c r="C650" s="2"/>
      <c r="D650" s="3"/>
      <c r="E650" s="3"/>
      <c r="F650" s="3"/>
      <c r="G650" s="3"/>
    </row>
    <row r="651" spans="3:7" ht="13.2">
      <c r="C651" s="2"/>
      <c r="D651" s="3"/>
      <c r="E651" s="3"/>
      <c r="F651" s="3"/>
      <c r="G651" s="3"/>
    </row>
    <row r="652" spans="3:7" ht="13.2">
      <c r="C652" s="2"/>
      <c r="D652" s="3"/>
      <c r="E652" s="3"/>
      <c r="F652" s="3"/>
      <c r="G652" s="3"/>
    </row>
    <row r="653" spans="3:7" ht="13.2">
      <c r="C653" s="2"/>
      <c r="D653" s="3"/>
      <c r="E653" s="3"/>
      <c r="F653" s="3"/>
      <c r="G653" s="3"/>
    </row>
    <row r="654" spans="3:7" ht="13.2">
      <c r="C654" s="2"/>
      <c r="D654" s="3"/>
      <c r="E654" s="3"/>
      <c r="F654" s="3"/>
      <c r="G654" s="3"/>
    </row>
    <row r="655" spans="3:7" ht="13.2">
      <c r="C655" s="2"/>
      <c r="D655" s="3"/>
      <c r="E655" s="3"/>
      <c r="F655" s="3"/>
      <c r="G655" s="3"/>
    </row>
    <row r="656" spans="3:7" ht="13.2">
      <c r="C656" s="2"/>
      <c r="D656" s="3"/>
      <c r="E656" s="3"/>
      <c r="F656" s="3"/>
      <c r="G656" s="3"/>
    </row>
    <row r="657" spans="3:7" ht="13.2">
      <c r="C657" s="2"/>
      <c r="D657" s="3"/>
      <c r="E657" s="3"/>
      <c r="F657" s="3"/>
      <c r="G657" s="3"/>
    </row>
    <row r="658" spans="3:7" ht="13.2">
      <c r="C658" s="2"/>
      <c r="D658" s="3"/>
      <c r="E658" s="3"/>
      <c r="F658" s="3"/>
      <c r="G658" s="3"/>
    </row>
    <row r="659" spans="3:7" ht="13.2">
      <c r="C659" s="2"/>
      <c r="D659" s="3"/>
      <c r="E659" s="3"/>
      <c r="F659" s="3"/>
      <c r="G659" s="3"/>
    </row>
    <row r="660" spans="3:7" ht="13.2">
      <c r="C660" s="2"/>
      <c r="D660" s="3"/>
      <c r="E660" s="3"/>
      <c r="F660" s="3"/>
      <c r="G660" s="3"/>
    </row>
    <row r="661" spans="3:7" ht="13.2">
      <c r="C661" s="2"/>
      <c r="D661" s="3"/>
      <c r="E661" s="3"/>
      <c r="F661" s="3"/>
      <c r="G661" s="3"/>
    </row>
    <row r="662" spans="3:7" ht="13.2">
      <c r="C662" s="2"/>
      <c r="D662" s="3"/>
      <c r="E662" s="3"/>
      <c r="F662" s="3"/>
      <c r="G662" s="3"/>
    </row>
    <row r="663" spans="3:7" ht="13.2">
      <c r="C663" s="2"/>
      <c r="D663" s="3"/>
      <c r="E663" s="3"/>
      <c r="F663" s="3"/>
      <c r="G663" s="3"/>
    </row>
    <row r="664" spans="3:7" ht="13.2">
      <c r="C664" s="2"/>
      <c r="D664" s="3"/>
      <c r="E664" s="3"/>
      <c r="F664" s="3"/>
      <c r="G664" s="3"/>
    </row>
    <row r="665" spans="3:7" ht="13.2">
      <c r="C665" s="2"/>
      <c r="D665" s="3"/>
      <c r="E665" s="3"/>
      <c r="F665" s="3"/>
      <c r="G665" s="3"/>
    </row>
    <row r="666" spans="3:7" ht="13.2">
      <c r="C666" s="2"/>
      <c r="D666" s="3"/>
      <c r="E666" s="3"/>
      <c r="F666" s="3"/>
      <c r="G666" s="3"/>
    </row>
    <row r="667" spans="3:7" ht="13.2">
      <c r="C667" s="2"/>
      <c r="D667" s="3"/>
      <c r="E667" s="3"/>
      <c r="F667" s="3"/>
      <c r="G667" s="3"/>
    </row>
    <row r="668" spans="3:7" ht="13.2">
      <c r="C668" s="2"/>
      <c r="D668" s="3"/>
      <c r="E668" s="3"/>
      <c r="F668" s="3"/>
      <c r="G668" s="3"/>
    </row>
    <row r="669" spans="3:7" ht="13.2">
      <c r="C669" s="2"/>
      <c r="D669" s="3"/>
      <c r="E669" s="3"/>
      <c r="F669" s="3"/>
      <c r="G669" s="3"/>
    </row>
    <row r="670" spans="3:7" ht="13.2">
      <c r="C670" s="2"/>
      <c r="D670" s="3"/>
      <c r="E670" s="3"/>
      <c r="F670" s="3"/>
      <c r="G670" s="3"/>
    </row>
    <row r="671" spans="3:7" ht="13.2">
      <c r="C671" s="2"/>
      <c r="D671" s="3"/>
      <c r="E671" s="3"/>
      <c r="F671" s="3"/>
      <c r="G671" s="3"/>
    </row>
    <row r="672" spans="3:7" ht="13.2">
      <c r="C672" s="2"/>
      <c r="D672" s="3"/>
      <c r="E672" s="3"/>
      <c r="F672" s="3"/>
      <c r="G672" s="3"/>
    </row>
    <row r="673" spans="3:7" ht="13.2">
      <c r="C673" s="2"/>
      <c r="D673" s="3"/>
      <c r="E673" s="3"/>
      <c r="F673" s="3"/>
      <c r="G673" s="3"/>
    </row>
    <row r="674" spans="3:7" ht="13.2">
      <c r="C674" s="2"/>
      <c r="D674" s="3"/>
      <c r="E674" s="3"/>
      <c r="F674" s="3"/>
      <c r="G674" s="3"/>
    </row>
    <row r="675" spans="3:7" ht="13.2">
      <c r="C675" s="2"/>
      <c r="D675" s="3"/>
      <c r="E675" s="3"/>
      <c r="F675" s="3"/>
      <c r="G675" s="3"/>
    </row>
    <row r="676" spans="3:7" ht="13.2">
      <c r="C676" s="2"/>
      <c r="D676" s="3"/>
      <c r="E676" s="3"/>
      <c r="F676" s="3"/>
      <c r="G676" s="3"/>
    </row>
    <row r="677" spans="3:7" ht="13.2">
      <c r="C677" s="2"/>
      <c r="D677" s="3"/>
      <c r="E677" s="3"/>
      <c r="F677" s="3"/>
      <c r="G677" s="3"/>
    </row>
    <row r="678" spans="3:7" ht="13.2">
      <c r="C678" s="2"/>
      <c r="D678" s="3"/>
      <c r="E678" s="3"/>
      <c r="F678" s="3"/>
      <c r="G678" s="3"/>
    </row>
    <row r="679" spans="3:7" ht="13.2">
      <c r="C679" s="2"/>
      <c r="D679" s="3"/>
      <c r="E679" s="3"/>
      <c r="F679" s="3"/>
      <c r="G679" s="3"/>
    </row>
    <row r="680" spans="3:7" ht="13.2">
      <c r="C680" s="2"/>
      <c r="D680" s="3"/>
      <c r="E680" s="3"/>
      <c r="F680" s="3"/>
      <c r="G680" s="3"/>
    </row>
    <row r="681" spans="3:7" ht="13.2">
      <c r="C681" s="2"/>
      <c r="D681" s="3"/>
      <c r="E681" s="3"/>
      <c r="F681" s="3"/>
      <c r="G681" s="3"/>
    </row>
    <row r="682" spans="3:7" ht="13.2">
      <c r="C682" s="2"/>
      <c r="D682" s="3"/>
      <c r="E682" s="3"/>
      <c r="F682" s="3"/>
      <c r="G682" s="3"/>
    </row>
    <row r="683" spans="3:7" ht="13.2">
      <c r="C683" s="2"/>
      <c r="D683" s="3"/>
      <c r="E683" s="3"/>
      <c r="F683" s="3"/>
      <c r="G683" s="3"/>
    </row>
    <row r="684" spans="3:7" ht="13.2">
      <c r="C684" s="2"/>
      <c r="D684" s="3"/>
      <c r="E684" s="3"/>
      <c r="F684" s="3"/>
      <c r="G684" s="3"/>
    </row>
    <row r="685" spans="3:7" ht="13.2">
      <c r="C685" s="2"/>
      <c r="D685" s="3"/>
      <c r="E685" s="3"/>
      <c r="F685" s="3"/>
      <c r="G685" s="3"/>
    </row>
    <row r="686" spans="3:7" ht="13.2">
      <c r="C686" s="2"/>
      <c r="D686" s="3"/>
      <c r="E686" s="3"/>
      <c r="F686" s="3"/>
      <c r="G686" s="3"/>
    </row>
    <row r="687" spans="3:7" ht="13.2">
      <c r="C687" s="2"/>
      <c r="D687" s="3"/>
      <c r="E687" s="3"/>
      <c r="F687" s="3"/>
      <c r="G687" s="3"/>
    </row>
    <row r="688" spans="3:7" ht="13.2">
      <c r="C688" s="2"/>
      <c r="D688" s="3"/>
      <c r="E688" s="3"/>
      <c r="F688" s="3"/>
      <c r="G688" s="3"/>
    </row>
    <row r="689" spans="3:7" ht="13.2">
      <c r="C689" s="2"/>
      <c r="D689" s="3"/>
      <c r="E689" s="3"/>
      <c r="F689" s="3"/>
      <c r="G689" s="3"/>
    </row>
    <row r="690" spans="3:7" ht="13.2">
      <c r="C690" s="2"/>
      <c r="D690" s="3"/>
      <c r="E690" s="3"/>
      <c r="F690" s="3"/>
      <c r="G690" s="3"/>
    </row>
    <row r="691" spans="3:7" ht="13.2">
      <c r="C691" s="2"/>
      <c r="D691" s="3"/>
      <c r="E691" s="3"/>
      <c r="F691" s="3"/>
      <c r="G691" s="3"/>
    </row>
    <row r="692" spans="3:7" ht="13.2">
      <c r="C692" s="2"/>
      <c r="D692" s="3"/>
      <c r="E692" s="3"/>
      <c r="F692" s="3"/>
      <c r="G692" s="3"/>
    </row>
    <row r="693" spans="3:7" ht="13.2">
      <c r="C693" s="2"/>
      <c r="D693" s="3"/>
      <c r="E693" s="3"/>
      <c r="F693" s="3"/>
      <c r="G693" s="3"/>
    </row>
    <row r="694" spans="3:7" ht="13.2">
      <c r="C694" s="2"/>
      <c r="D694" s="3"/>
      <c r="E694" s="3"/>
      <c r="F694" s="3"/>
      <c r="G694" s="3"/>
    </row>
    <row r="695" spans="3:7" ht="13.2">
      <c r="C695" s="2"/>
      <c r="D695" s="3"/>
      <c r="E695" s="3"/>
      <c r="F695" s="3"/>
      <c r="G695" s="3"/>
    </row>
    <row r="696" spans="3:7" ht="13.2">
      <c r="C696" s="2"/>
      <c r="D696" s="3"/>
      <c r="E696" s="3"/>
      <c r="F696" s="3"/>
      <c r="G696" s="3"/>
    </row>
    <row r="697" spans="3:7" ht="13.2">
      <c r="C697" s="2"/>
      <c r="D697" s="3"/>
      <c r="E697" s="3"/>
      <c r="F697" s="3"/>
      <c r="G697" s="3"/>
    </row>
    <row r="698" spans="3:7" ht="13.2">
      <c r="C698" s="2"/>
      <c r="D698" s="3"/>
      <c r="E698" s="3"/>
      <c r="F698" s="3"/>
      <c r="G698" s="3"/>
    </row>
    <row r="699" spans="3:7" ht="13.2">
      <c r="C699" s="2"/>
      <c r="D699" s="3"/>
      <c r="E699" s="3"/>
      <c r="F699" s="3"/>
      <c r="G699" s="3"/>
    </row>
    <row r="700" spans="3:7" ht="13.2">
      <c r="C700" s="2"/>
      <c r="D700" s="3"/>
      <c r="E700" s="3"/>
      <c r="F700" s="3"/>
      <c r="G700" s="3"/>
    </row>
    <row r="701" spans="3:7" ht="13.2">
      <c r="C701" s="2"/>
      <c r="D701" s="3"/>
      <c r="E701" s="3"/>
      <c r="F701" s="3"/>
      <c r="G701" s="3"/>
    </row>
    <row r="702" spans="3:7" ht="13.2">
      <c r="C702" s="2"/>
      <c r="D702" s="3"/>
      <c r="E702" s="3"/>
      <c r="F702" s="3"/>
      <c r="G702" s="3"/>
    </row>
    <row r="703" spans="3:7" ht="13.2">
      <c r="C703" s="2"/>
      <c r="D703" s="3"/>
      <c r="E703" s="3"/>
      <c r="F703" s="3"/>
      <c r="G703" s="3"/>
    </row>
    <row r="704" spans="3:7" ht="13.2">
      <c r="C704" s="2"/>
      <c r="D704" s="3"/>
      <c r="E704" s="3"/>
      <c r="F704" s="3"/>
      <c r="G704" s="3"/>
    </row>
    <row r="705" spans="3:7" ht="13.2">
      <c r="C705" s="2"/>
      <c r="D705" s="3"/>
      <c r="E705" s="3"/>
      <c r="F705" s="3"/>
      <c r="G705" s="3"/>
    </row>
    <row r="706" spans="3:7" ht="13.2">
      <c r="C706" s="2"/>
      <c r="D706" s="3"/>
      <c r="E706" s="3"/>
      <c r="F706" s="3"/>
      <c r="G706" s="3"/>
    </row>
    <row r="707" spans="3:7" ht="13.2">
      <c r="C707" s="2"/>
      <c r="D707" s="3"/>
      <c r="E707" s="3"/>
      <c r="F707" s="3"/>
      <c r="G707" s="3"/>
    </row>
    <row r="708" spans="3:7" ht="13.2">
      <c r="C708" s="2"/>
      <c r="D708" s="3"/>
      <c r="E708" s="3"/>
      <c r="F708" s="3"/>
      <c r="G708" s="3"/>
    </row>
    <row r="709" spans="3:7" ht="13.2">
      <c r="C709" s="2"/>
      <c r="D709" s="3"/>
      <c r="E709" s="3"/>
      <c r="F709" s="3"/>
      <c r="G709" s="3"/>
    </row>
    <row r="710" spans="3:7" ht="13.2">
      <c r="C710" s="2"/>
      <c r="D710" s="3"/>
      <c r="E710" s="3"/>
      <c r="F710" s="3"/>
      <c r="G710" s="3"/>
    </row>
    <row r="711" spans="3:7" ht="13.2">
      <c r="C711" s="2"/>
      <c r="D711" s="3"/>
      <c r="E711" s="3"/>
      <c r="F711" s="3"/>
      <c r="G711" s="3"/>
    </row>
    <row r="712" spans="3:7" ht="13.2">
      <c r="C712" s="2"/>
      <c r="D712" s="3"/>
      <c r="E712" s="3"/>
      <c r="F712" s="3"/>
      <c r="G712" s="3"/>
    </row>
    <row r="713" spans="3:7" ht="13.2">
      <c r="C713" s="2"/>
      <c r="D713" s="3"/>
      <c r="E713" s="3"/>
      <c r="F713" s="3"/>
      <c r="G713" s="3"/>
    </row>
    <row r="714" spans="3:7" ht="13.2">
      <c r="C714" s="2"/>
      <c r="D714" s="3"/>
      <c r="E714" s="3"/>
      <c r="F714" s="3"/>
      <c r="G714" s="3"/>
    </row>
    <row r="715" spans="3:7" ht="13.2">
      <c r="C715" s="2"/>
      <c r="D715" s="3"/>
      <c r="E715" s="3"/>
      <c r="F715" s="3"/>
      <c r="G715" s="3"/>
    </row>
    <row r="716" spans="3:7" ht="13.2">
      <c r="C716" s="2"/>
      <c r="D716" s="3"/>
      <c r="E716" s="3"/>
      <c r="F716" s="3"/>
      <c r="G716" s="3"/>
    </row>
    <row r="717" spans="3:7" ht="13.2">
      <c r="C717" s="2"/>
      <c r="D717" s="3"/>
      <c r="E717" s="3"/>
      <c r="F717" s="3"/>
      <c r="G717" s="3"/>
    </row>
    <row r="718" spans="3:7" ht="13.2">
      <c r="C718" s="2"/>
      <c r="D718" s="3"/>
      <c r="E718" s="3"/>
      <c r="F718" s="3"/>
      <c r="G718" s="3"/>
    </row>
    <row r="719" spans="3:7" ht="13.2">
      <c r="C719" s="2"/>
      <c r="D719" s="3"/>
      <c r="E719" s="3"/>
      <c r="F719" s="3"/>
      <c r="G719" s="3"/>
    </row>
    <row r="720" spans="3:7" ht="13.2">
      <c r="C720" s="2"/>
      <c r="D720" s="3"/>
      <c r="E720" s="3"/>
      <c r="F720" s="3"/>
      <c r="G720" s="3"/>
    </row>
    <row r="721" spans="3:7" ht="13.2">
      <c r="C721" s="2"/>
      <c r="D721" s="3"/>
      <c r="E721" s="3"/>
      <c r="F721" s="3"/>
      <c r="G721" s="3"/>
    </row>
    <row r="722" spans="3:7" ht="13.2">
      <c r="C722" s="2"/>
      <c r="D722" s="3"/>
      <c r="E722" s="3"/>
      <c r="F722" s="3"/>
      <c r="G722" s="3"/>
    </row>
    <row r="723" spans="3:7" ht="13.2">
      <c r="C723" s="2"/>
      <c r="D723" s="3"/>
      <c r="E723" s="3"/>
      <c r="F723" s="3"/>
      <c r="G723" s="3"/>
    </row>
    <row r="724" spans="3:7" ht="13.2">
      <c r="C724" s="2"/>
      <c r="D724" s="3"/>
      <c r="E724" s="3"/>
      <c r="F724" s="3"/>
      <c r="G724" s="3"/>
    </row>
    <row r="725" spans="3:7" ht="13.2">
      <c r="C725" s="2"/>
      <c r="D725" s="3"/>
      <c r="E725" s="3"/>
      <c r="F725" s="3"/>
      <c r="G725" s="3"/>
    </row>
    <row r="726" spans="3:7" ht="13.2">
      <c r="C726" s="2"/>
      <c r="D726" s="3"/>
      <c r="E726" s="3"/>
      <c r="F726" s="3"/>
      <c r="G726" s="3"/>
    </row>
    <row r="727" spans="3:7" ht="13.2">
      <c r="C727" s="2"/>
      <c r="D727" s="3"/>
      <c r="E727" s="3"/>
      <c r="F727" s="3"/>
      <c r="G727" s="3"/>
    </row>
    <row r="728" spans="3:7" ht="13.2">
      <c r="C728" s="2"/>
      <c r="D728" s="3"/>
      <c r="E728" s="3"/>
      <c r="F728" s="3"/>
      <c r="G728" s="3"/>
    </row>
    <row r="729" spans="3:7" ht="13.2">
      <c r="C729" s="2"/>
      <c r="D729" s="3"/>
      <c r="E729" s="3"/>
      <c r="F729" s="3"/>
      <c r="G729" s="3"/>
    </row>
    <row r="730" spans="3:7" ht="13.2">
      <c r="C730" s="2"/>
      <c r="D730" s="3"/>
      <c r="E730" s="3"/>
      <c r="F730" s="3"/>
      <c r="G730" s="3"/>
    </row>
    <row r="731" spans="3:7" ht="13.2">
      <c r="C731" s="2"/>
      <c r="D731" s="3"/>
      <c r="E731" s="3"/>
      <c r="F731" s="3"/>
      <c r="G731" s="3"/>
    </row>
    <row r="732" spans="3:7" ht="13.2">
      <c r="C732" s="2"/>
      <c r="D732" s="3"/>
      <c r="E732" s="3"/>
      <c r="F732" s="3"/>
      <c r="G732" s="3"/>
    </row>
    <row r="733" spans="3:7" ht="13.2">
      <c r="C733" s="2"/>
      <c r="D733" s="3"/>
      <c r="E733" s="3"/>
      <c r="F733" s="3"/>
      <c r="G733" s="3"/>
    </row>
    <row r="734" spans="3:7" ht="13.2">
      <c r="C734" s="2"/>
      <c r="D734" s="3"/>
      <c r="E734" s="3"/>
      <c r="F734" s="3"/>
      <c r="G734" s="3"/>
    </row>
    <row r="735" spans="3:7" ht="13.2">
      <c r="C735" s="2"/>
      <c r="D735" s="3"/>
      <c r="E735" s="3"/>
      <c r="F735" s="3"/>
      <c r="G735" s="3"/>
    </row>
    <row r="736" spans="3:7" ht="13.2">
      <c r="C736" s="2"/>
      <c r="D736" s="3"/>
      <c r="E736" s="3"/>
      <c r="F736" s="3"/>
      <c r="G736" s="3"/>
    </row>
    <row r="737" spans="3:7" ht="13.2">
      <c r="C737" s="2"/>
      <c r="D737" s="3"/>
      <c r="E737" s="3"/>
      <c r="F737" s="3"/>
      <c r="G737" s="3"/>
    </row>
    <row r="738" spans="3:7" ht="13.2">
      <c r="C738" s="2"/>
      <c r="D738" s="3"/>
      <c r="E738" s="3"/>
      <c r="F738" s="3"/>
      <c r="G738" s="3"/>
    </row>
    <row r="739" spans="3:7" ht="13.2">
      <c r="C739" s="2"/>
      <c r="D739" s="3"/>
      <c r="E739" s="3"/>
      <c r="F739" s="3"/>
      <c r="G739" s="3"/>
    </row>
    <row r="740" spans="3:7" ht="13.2">
      <c r="C740" s="2"/>
      <c r="D740" s="3"/>
      <c r="E740" s="3"/>
      <c r="F740" s="3"/>
      <c r="G740" s="3"/>
    </row>
    <row r="741" spans="3:7" ht="13.2">
      <c r="C741" s="2"/>
      <c r="D741" s="3"/>
      <c r="E741" s="3"/>
      <c r="F741" s="3"/>
      <c r="G741" s="3"/>
    </row>
    <row r="742" spans="3:7" ht="13.2">
      <c r="C742" s="2"/>
      <c r="D742" s="3"/>
      <c r="E742" s="3"/>
      <c r="F742" s="3"/>
      <c r="G742" s="3"/>
    </row>
    <row r="743" spans="3:7" ht="13.2">
      <c r="C743" s="2"/>
      <c r="D743" s="3"/>
      <c r="E743" s="3"/>
      <c r="F743" s="3"/>
      <c r="G743" s="3"/>
    </row>
    <row r="744" spans="3:7" ht="13.2">
      <c r="C744" s="2"/>
      <c r="D744" s="3"/>
      <c r="E744" s="3"/>
      <c r="F744" s="3"/>
      <c r="G744" s="3"/>
    </row>
    <row r="745" spans="3:7" ht="13.2">
      <c r="C745" s="2"/>
      <c r="D745" s="3"/>
      <c r="E745" s="3"/>
      <c r="F745" s="3"/>
      <c r="G745" s="3"/>
    </row>
    <row r="746" spans="3:7" ht="13.2">
      <c r="C746" s="2"/>
      <c r="D746" s="3"/>
      <c r="E746" s="3"/>
      <c r="F746" s="3"/>
      <c r="G746" s="3"/>
    </row>
    <row r="747" spans="3:7" ht="13.2">
      <c r="C747" s="2"/>
      <c r="D747" s="3"/>
      <c r="E747" s="3"/>
      <c r="F747" s="3"/>
      <c r="G747" s="3"/>
    </row>
    <row r="748" spans="3:7" ht="13.2">
      <c r="C748" s="2"/>
      <c r="D748" s="3"/>
      <c r="E748" s="3"/>
      <c r="F748" s="3"/>
      <c r="G748" s="3"/>
    </row>
    <row r="749" spans="3:7" ht="13.2">
      <c r="C749" s="2"/>
      <c r="D749" s="3"/>
      <c r="E749" s="3"/>
      <c r="F749" s="3"/>
      <c r="G749" s="3"/>
    </row>
    <row r="750" spans="3:7" ht="13.2">
      <c r="C750" s="2"/>
      <c r="D750" s="3"/>
      <c r="E750" s="3"/>
      <c r="F750" s="3"/>
      <c r="G750" s="3"/>
    </row>
    <row r="751" spans="3:7" ht="13.2">
      <c r="C751" s="2"/>
      <c r="D751" s="3"/>
      <c r="E751" s="3"/>
      <c r="F751" s="3"/>
      <c r="G751" s="3"/>
    </row>
    <row r="752" spans="3:7" ht="13.2">
      <c r="C752" s="2"/>
      <c r="D752" s="3"/>
      <c r="E752" s="3"/>
      <c r="F752" s="3"/>
      <c r="G752" s="3"/>
    </row>
    <row r="753" spans="3:7" ht="13.2">
      <c r="C753" s="2"/>
      <c r="D753" s="3"/>
      <c r="E753" s="3"/>
      <c r="F753" s="3"/>
      <c r="G753" s="3"/>
    </row>
    <row r="754" spans="3:7" ht="13.2">
      <c r="C754" s="2"/>
      <c r="D754" s="3"/>
      <c r="E754" s="3"/>
      <c r="F754" s="3"/>
      <c r="G754" s="3"/>
    </row>
    <row r="755" spans="3:7" ht="13.2">
      <c r="C755" s="2"/>
      <c r="D755" s="3"/>
      <c r="E755" s="3"/>
      <c r="F755" s="3"/>
      <c r="G755" s="3"/>
    </row>
    <row r="756" spans="3:7" ht="13.2">
      <c r="C756" s="2"/>
      <c r="D756" s="3"/>
      <c r="E756" s="3"/>
      <c r="F756" s="3"/>
      <c r="G756" s="3"/>
    </row>
    <row r="757" spans="3:7" ht="13.2">
      <c r="C757" s="2"/>
      <c r="D757" s="3"/>
      <c r="E757" s="3"/>
      <c r="F757" s="3"/>
      <c r="G757" s="3"/>
    </row>
    <row r="758" spans="3:7" ht="13.2">
      <c r="C758" s="2"/>
      <c r="D758" s="3"/>
      <c r="E758" s="3"/>
      <c r="F758" s="3"/>
      <c r="G758" s="3"/>
    </row>
    <row r="759" spans="3:7" ht="13.2">
      <c r="C759" s="2"/>
      <c r="D759" s="3"/>
      <c r="E759" s="3"/>
      <c r="F759" s="3"/>
      <c r="G759" s="3"/>
    </row>
    <row r="760" spans="3:7" ht="13.2">
      <c r="C760" s="2"/>
      <c r="D760" s="3"/>
      <c r="E760" s="3"/>
      <c r="F760" s="3"/>
      <c r="G760" s="3"/>
    </row>
    <row r="761" spans="3:7" ht="13.2">
      <c r="C761" s="2"/>
      <c r="D761" s="3"/>
      <c r="E761" s="3"/>
      <c r="F761" s="3"/>
      <c r="G761" s="3"/>
    </row>
    <row r="762" spans="3:7" ht="13.2">
      <c r="C762" s="2"/>
      <c r="D762" s="3"/>
      <c r="E762" s="3"/>
      <c r="F762" s="3"/>
      <c r="G762" s="3"/>
    </row>
    <row r="763" spans="3:7" ht="13.2">
      <c r="C763" s="2"/>
      <c r="D763" s="3"/>
      <c r="E763" s="3"/>
      <c r="F763" s="3"/>
      <c r="G763" s="3"/>
    </row>
    <row r="764" spans="3:7" ht="13.2">
      <c r="C764" s="2"/>
      <c r="D764" s="3"/>
      <c r="E764" s="3"/>
      <c r="F764" s="3"/>
      <c r="G764" s="3"/>
    </row>
    <row r="765" spans="3:7" ht="13.2">
      <c r="C765" s="2"/>
      <c r="D765" s="3"/>
      <c r="E765" s="3"/>
      <c r="F765" s="3"/>
      <c r="G765" s="3"/>
    </row>
    <row r="766" spans="3:7" ht="13.2">
      <c r="C766" s="2"/>
      <c r="D766" s="3"/>
      <c r="E766" s="3"/>
      <c r="F766" s="3"/>
      <c r="G766" s="3"/>
    </row>
    <row r="767" spans="3:7" ht="13.2">
      <c r="C767" s="2"/>
      <c r="D767" s="3"/>
      <c r="E767" s="3"/>
      <c r="F767" s="3"/>
      <c r="G767" s="3"/>
    </row>
    <row r="768" spans="3:7" ht="13.2">
      <c r="C768" s="2"/>
      <c r="D768" s="3"/>
      <c r="E768" s="3"/>
      <c r="F768" s="3"/>
      <c r="G768" s="3"/>
    </row>
    <row r="769" spans="3:7" ht="13.2">
      <c r="C769" s="2"/>
      <c r="D769" s="3"/>
      <c r="E769" s="3"/>
      <c r="F769" s="3"/>
      <c r="G769" s="3"/>
    </row>
    <row r="770" spans="3:7" ht="13.2">
      <c r="C770" s="2"/>
      <c r="D770" s="3"/>
      <c r="E770" s="3"/>
      <c r="F770" s="3"/>
      <c r="G770" s="3"/>
    </row>
    <row r="771" spans="3:7" ht="13.2">
      <c r="C771" s="2"/>
      <c r="D771" s="3"/>
      <c r="E771" s="3"/>
      <c r="F771" s="3"/>
      <c r="G771" s="3"/>
    </row>
    <row r="772" spans="3:7" ht="13.2">
      <c r="C772" s="2"/>
      <c r="D772" s="3"/>
      <c r="E772" s="3"/>
      <c r="F772" s="3"/>
      <c r="G772" s="3"/>
    </row>
    <row r="773" spans="3:7" ht="13.2">
      <c r="C773" s="2"/>
      <c r="D773" s="3"/>
      <c r="E773" s="3"/>
      <c r="F773" s="3"/>
      <c r="G773" s="3"/>
    </row>
    <row r="774" spans="3:7" ht="13.2">
      <c r="C774" s="2"/>
      <c r="D774" s="3"/>
      <c r="E774" s="3"/>
      <c r="F774" s="3"/>
      <c r="G774" s="3"/>
    </row>
    <row r="775" spans="3:7" ht="13.2">
      <c r="C775" s="2"/>
      <c r="D775" s="3"/>
      <c r="E775" s="3"/>
      <c r="F775" s="3"/>
      <c r="G775" s="3"/>
    </row>
    <row r="776" spans="3:7" ht="13.2">
      <c r="C776" s="2"/>
      <c r="D776" s="3"/>
      <c r="E776" s="3"/>
      <c r="F776" s="3"/>
      <c r="G776" s="3"/>
    </row>
    <row r="777" spans="3:7" ht="13.2">
      <c r="C777" s="2"/>
      <c r="D777" s="3"/>
      <c r="E777" s="3"/>
      <c r="F777" s="3"/>
      <c r="G777" s="3"/>
    </row>
    <row r="778" spans="3:7" ht="13.2">
      <c r="C778" s="2"/>
      <c r="D778" s="3"/>
      <c r="E778" s="3"/>
      <c r="F778" s="3"/>
      <c r="G778" s="3"/>
    </row>
    <row r="779" spans="3:7" ht="13.2">
      <c r="C779" s="2"/>
      <c r="D779" s="3"/>
      <c r="E779" s="3"/>
      <c r="F779" s="3"/>
      <c r="G779" s="3"/>
    </row>
    <row r="780" spans="3:7" ht="13.2">
      <c r="C780" s="2"/>
      <c r="D780" s="3"/>
      <c r="E780" s="3"/>
      <c r="F780" s="3"/>
      <c r="G780" s="3"/>
    </row>
    <row r="781" spans="3:7" ht="13.2">
      <c r="C781" s="2"/>
      <c r="D781" s="3"/>
      <c r="E781" s="3"/>
      <c r="F781" s="3"/>
      <c r="G781" s="3"/>
    </row>
    <row r="782" spans="3:7" ht="13.2">
      <c r="C782" s="2"/>
      <c r="D782" s="3"/>
      <c r="E782" s="3"/>
      <c r="F782" s="3"/>
      <c r="G782" s="3"/>
    </row>
    <row r="783" spans="3:7" ht="13.2">
      <c r="C783" s="2"/>
      <c r="D783" s="3"/>
      <c r="E783" s="3"/>
      <c r="F783" s="3"/>
      <c r="G783" s="3"/>
    </row>
    <row r="784" spans="3:7" ht="13.2">
      <c r="C784" s="2"/>
      <c r="D784" s="3"/>
      <c r="E784" s="3"/>
      <c r="F784" s="3"/>
      <c r="G784" s="3"/>
    </row>
    <row r="785" spans="3:7" ht="13.2">
      <c r="C785" s="2"/>
      <c r="D785" s="3"/>
      <c r="E785" s="3"/>
      <c r="F785" s="3"/>
      <c r="G785" s="3"/>
    </row>
    <row r="786" spans="3:7" ht="13.2">
      <c r="C786" s="2"/>
      <c r="D786" s="3"/>
      <c r="E786" s="3"/>
      <c r="F786" s="3"/>
      <c r="G786" s="3"/>
    </row>
    <row r="787" spans="3:7" ht="13.2">
      <c r="C787" s="2"/>
      <c r="D787" s="3"/>
      <c r="E787" s="3"/>
      <c r="F787" s="3"/>
      <c r="G787" s="3"/>
    </row>
    <row r="788" spans="3:7" ht="13.2">
      <c r="C788" s="2"/>
      <c r="D788" s="3"/>
      <c r="E788" s="3"/>
      <c r="F788" s="3"/>
      <c r="G788" s="3"/>
    </row>
    <row r="789" spans="3:7" ht="13.2">
      <c r="C789" s="2"/>
      <c r="D789" s="3"/>
      <c r="E789" s="3"/>
      <c r="F789" s="3"/>
      <c r="G789" s="3"/>
    </row>
    <row r="790" spans="3:7" ht="13.2">
      <c r="C790" s="2"/>
      <c r="D790" s="3"/>
      <c r="E790" s="3"/>
      <c r="F790" s="3"/>
      <c r="G790" s="3"/>
    </row>
    <row r="791" spans="3:7" ht="13.2">
      <c r="C791" s="2"/>
      <c r="D791" s="3"/>
      <c r="E791" s="3"/>
      <c r="F791" s="3"/>
      <c r="G791" s="3"/>
    </row>
    <row r="792" spans="3:7" ht="13.2">
      <c r="C792" s="2"/>
      <c r="D792" s="3"/>
      <c r="E792" s="3"/>
      <c r="F792" s="3"/>
      <c r="G792" s="3"/>
    </row>
    <row r="793" spans="3:7" ht="13.2">
      <c r="C793" s="2"/>
      <c r="D793" s="3"/>
      <c r="E793" s="3"/>
      <c r="F793" s="3"/>
      <c r="G793" s="3"/>
    </row>
    <row r="794" spans="3:7" ht="13.2">
      <c r="C794" s="2"/>
      <c r="D794" s="3"/>
      <c r="E794" s="3"/>
      <c r="F794" s="3"/>
      <c r="G794" s="3"/>
    </row>
    <row r="795" spans="3:7" ht="13.2">
      <c r="C795" s="2"/>
      <c r="D795" s="3"/>
      <c r="E795" s="3"/>
      <c r="F795" s="3"/>
      <c r="G795" s="3"/>
    </row>
    <row r="796" spans="3:7" ht="13.2">
      <c r="C796" s="2"/>
      <c r="D796" s="3"/>
      <c r="E796" s="3"/>
      <c r="F796" s="3"/>
      <c r="G796" s="3"/>
    </row>
    <row r="797" spans="3:7" ht="13.2">
      <c r="C797" s="2"/>
      <c r="D797" s="3"/>
      <c r="E797" s="3"/>
      <c r="F797" s="3"/>
      <c r="G797" s="3"/>
    </row>
    <row r="798" spans="3:7" ht="13.2">
      <c r="C798" s="2"/>
      <c r="D798" s="3"/>
      <c r="E798" s="3"/>
      <c r="F798" s="3"/>
      <c r="G798" s="3"/>
    </row>
    <row r="799" spans="3:7" ht="13.2">
      <c r="C799" s="2"/>
      <c r="D799" s="3"/>
      <c r="E799" s="3"/>
      <c r="F799" s="3"/>
      <c r="G799" s="3"/>
    </row>
    <row r="800" spans="3:7" ht="13.2">
      <c r="C800" s="2"/>
      <c r="D800" s="3"/>
      <c r="E800" s="3"/>
      <c r="F800" s="3"/>
      <c r="G800" s="3"/>
    </row>
    <row r="801" spans="3:7" ht="13.2">
      <c r="C801" s="2"/>
      <c r="D801" s="3"/>
      <c r="E801" s="3"/>
      <c r="F801" s="3"/>
      <c r="G801" s="3"/>
    </row>
    <row r="802" spans="3:7" ht="13.2">
      <c r="C802" s="2"/>
      <c r="D802" s="3"/>
      <c r="E802" s="3"/>
      <c r="F802" s="3"/>
      <c r="G802" s="3"/>
    </row>
    <row r="803" spans="3:7" ht="13.2">
      <c r="C803" s="2"/>
      <c r="D803" s="3"/>
      <c r="E803" s="3"/>
      <c r="F803" s="3"/>
      <c r="G803" s="3"/>
    </row>
    <row r="804" spans="3:7" ht="13.2">
      <c r="C804" s="2"/>
      <c r="D804" s="3"/>
      <c r="E804" s="3"/>
      <c r="F804" s="3"/>
      <c r="G804" s="3"/>
    </row>
    <row r="805" spans="3:7" ht="13.2">
      <c r="C805" s="2"/>
      <c r="D805" s="3"/>
      <c r="E805" s="3"/>
      <c r="F805" s="3"/>
      <c r="G805" s="3"/>
    </row>
    <row r="806" spans="3:7" ht="13.2">
      <c r="C806" s="2"/>
      <c r="D806" s="3"/>
      <c r="E806" s="3"/>
      <c r="F806" s="3"/>
      <c r="G806" s="3"/>
    </row>
    <row r="807" spans="3:7" ht="13.2">
      <c r="C807" s="2"/>
      <c r="D807" s="3"/>
      <c r="E807" s="3"/>
      <c r="F807" s="3"/>
      <c r="G807" s="3"/>
    </row>
    <row r="808" spans="3:7" ht="13.2">
      <c r="C808" s="2"/>
      <c r="D808" s="3"/>
      <c r="E808" s="3"/>
      <c r="F808" s="3"/>
      <c r="G808" s="3"/>
    </row>
    <row r="809" spans="3:7" ht="13.2">
      <c r="C809" s="2"/>
      <c r="D809" s="3"/>
      <c r="E809" s="3"/>
      <c r="F809" s="3"/>
      <c r="G809" s="3"/>
    </row>
    <row r="810" spans="3:7" ht="13.2">
      <c r="C810" s="2"/>
      <c r="D810" s="3"/>
      <c r="E810" s="3"/>
      <c r="F810" s="3"/>
      <c r="G810" s="3"/>
    </row>
    <row r="811" spans="3:7" ht="13.2">
      <c r="C811" s="2"/>
      <c r="D811" s="3"/>
      <c r="E811" s="3"/>
      <c r="F811" s="3"/>
      <c r="G811" s="3"/>
    </row>
    <row r="812" spans="3:7" ht="13.2">
      <c r="C812" s="2"/>
      <c r="D812" s="3"/>
      <c r="E812" s="3"/>
      <c r="F812" s="3"/>
      <c r="G812" s="3"/>
    </row>
    <row r="813" spans="3:7" ht="13.2">
      <c r="C813" s="2"/>
      <c r="D813" s="3"/>
      <c r="E813" s="3"/>
      <c r="F813" s="3"/>
      <c r="G813" s="3"/>
    </row>
    <row r="814" spans="3:7" ht="13.2">
      <c r="C814" s="2"/>
      <c r="D814" s="3"/>
      <c r="E814" s="3"/>
      <c r="F814" s="3"/>
      <c r="G814" s="3"/>
    </row>
    <row r="815" spans="3:7" ht="13.2">
      <c r="C815" s="2"/>
      <c r="D815" s="3"/>
      <c r="E815" s="3"/>
      <c r="F815" s="3"/>
      <c r="G815" s="3"/>
    </row>
    <row r="816" spans="3:7" ht="13.2">
      <c r="C816" s="2"/>
      <c r="D816" s="3"/>
      <c r="E816" s="3"/>
      <c r="F816" s="3"/>
      <c r="G816" s="3"/>
    </row>
    <row r="817" spans="3:7" ht="13.2">
      <c r="C817" s="2"/>
      <c r="D817" s="3"/>
      <c r="E817" s="3"/>
      <c r="F817" s="3"/>
      <c r="G817" s="3"/>
    </row>
    <row r="818" spans="3:7" ht="13.2">
      <c r="C818" s="2"/>
      <c r="D818" s="3"/>
      <c r="E818" s="3"/>
      <c r="F818" s="3"/>
      <c r="G818" s="3"/>
    </row>
    <row r="819" spans="3:7" ht="13.2">
      <c r="C819" s="2"/>
      <c r="D819" s="3"/>
      <c r="E819" s="3"/>
      <c r="F819" s="3"/>
      <c r="G819" s="3"/>
    </row>
    <row r="820" spans="3:7" ht="13.2">
      <c r="C820" s="2"/>
      <c r="D820" s="3"/>
      <c r="E820" s="3"/>
      <c r="F820" s="3"/>
      <c r="G820" s="3"/>
    </row>
    <row r="821" spans="3:7" ht="13.2">
      <c r="C821" s="2"/>
      <c r="D821" s="3"/>
      <c r="E821" s="3"/>
      <c r="F821" s="3"/>
      <c r="G821" s="3"/>
    </row>
    <row r="822" spans="3:7" ht="13.2">
      <c r="C822" s="2"/>
      <c r="D822" s="3"/>
      <c r="E822" s="3"/>
      <c r="F822" s="3"/>
      <c r="G822" s="3"/>
    </row>
    <row r="823" spans="3:7" ht="13.2">
      <c r="C823" s="2"/>
      <c r="D823" s="3"/>
      <c r="E823" s="3"/>
      <c r="F823" s="3"/>
      <c r="G823" s="3"/>
    </row>
    <row r="824" spans="3:7" ht="13.2">
      <c r="C824" s="2"/>
      <c r="D824" s="3"/>
      <c r="E824" s="3"/>
      <c r="F824" s="3"/>
      <c r="G824" s="3"/>
    </row>
    <row r="825" spans="3:7" ht="13.2">
      <c r="C825" s="2"/>
      <c r="D825" s="3"/>
      <c r="E825" s="3"/>
      <c r="F825" s="3"/>
      <c r="G825" s="3"/>
    </row>
    <row r="826" spans="3:7" ht="13.2">
      <c r="C826" s="2"/>
      <c r="D826" s="3"/>
      <c r="E826" s="3"/>
      <c r="F826" s="3"/>
      <c r="G826" s="3"/>
    </row>
    <row r="827" spans="3:7" ht="13.2">
      <c r="C827" s="2"/>
      <c r="D827" s="3"/>
      <c r="E827" s="3"/>
      <c r="F827" s="3"/>
      <c r="G827" s="3"/>
    </row>
    <row r="828" spans="3:7" ht="13.2">
      <c r="C828" s="2"/>
      <c r="D828" s="3"/>
      <c r="E828" s="3"/>
      <c r="F828" s="3"/>
      <c r="G828" s="3"/>
    </row>
    <row r="829" spans="3:7" ht="13.2">
      <c r="C829" s="2"/>
      <c r="D829" s="3"/>
      <c r="E829" s="3"/>
      <c r="F829" s="3"/>
      <c r="G829" s="3"/>
    </row>
    <row r="830" spans="3:7" ht="13.2">
      <c r="C830" s="2"/>
      <c r="D830" s="3"/>
      <c r="E830" s="3"/>
      <c r="F830" s="3"/>
      <c r="G830" s="3"/>
    </row>
    <row r="831" spans="3:7" ht="13.2">
      <c r="C831" s="2"/>
      <c r="D831" s="3"/>
      <c r="E831" s="3"/>
      <c r="F831" s="3"/>
      <c r="G831" s="3"/>
    </row>
    <row r="832" spans="3:7" ht="13.2">
      <c r="C832" s="2"/>
      <c r="D832" s="3"/>
      <c r="E832" s="3"/>
      <c r="F832" s="3"/>
      <c r="G832" s="3"/>
    </row>
    <row r="833" spans="3:7" ht="13.2">
      <c r="C833" s="2"/>
      <c r="D833" s="3"/>
      <c r="E833" s="3"/>
      <c r="F833" s="3"/>
      <c r="G833" s="3"/>
    </row>
    <row r="834" spans="3:7" ht="13.2">
      <c r="C834" s="2"/>
      <c r="D834" s="3"/>
      <c r="E834" s="3"/>
      <c r="F834" s="3"/>
      <c r="G834" s="3"/>
    </row>
    <row r="835" spans="3:7" ht="13.2">
      <c r="C835" s="2"/>
      <c r="D835" s="3"/>
      <c r="E835" s="3"/>
      <c r="F835" s="3"/>
      <c r="G835" s="3"/>
    </row>
    <row r="836" spans="3:7" ht="13.2">
      <c r="C836" s="2"/>
      <c r="D836" s="3"/>
      <c r="E836" s="3"/>
      <c r="F836" s="3"/>
      <c r="G836" s="3"/>
    </row>
    <row r="837" spans="3:7" ht="13.2">
      <c r="C837" s="2"/>
      <c r="D837" s="3"/>
      <c r="E837" s="3"/>
      <c r="F837" s="3"/>
      <c r="G837" s="3"/>
    </row>
    <row r="838" spans="3:7" ht="13.2">
      <c r="C838" s="2"/>
      <c r="D838" s="3"/>
      <c r="E838" s="3"/>
      <c r="F838" s="3"/>
      <c r="G838" s="3"/>
    </row>
    <row r="839" spans="3:7" ht="13.2">
      <c r="C839" s="2"/>
      <c r="D839" s="3"/>
      <c r="E839" s="3"/>
      <c r="F839" s="3"/>
      <c r="G839" s="3"/>
    </row>
    <row r="840" spans="3:7" ht="13.2">
      <c r="C840" s="2"/>
      <c r="D840" s="3"/>
      <c r="E840" s="3"/>
      <c r="F840" s="3"/>
      <c r="G840" s="3"/>
    </row>
    <row r="841" spans="3:7" ht="13.2">
      <c r="C841" s="2"/>
      <c r="D841" s="3"/>
      <c r="E841" s="3"/>
      <c r="F841" s="3"/>
      <c r="G841" s="3"/>
    </row>
    <row r="842" spans="3:7" ht="13.2">
      <c r="C842" s="2"/>
      <c r="D842" s="3"/>
      <c r="E842" s="3"/>
      <c r="F842" s="3"/>
      <c r="G842" s="3"/>
    </row>
    <row r="843" spans="3:7" ht="13.2">
      <c r="C843" s="2"/>
      <c r="D843" s="3"/>
      <c r="E843" s="3"/>
      <c r="F843" s="3"/>
      <c r="G843" s="3"/>
    </row>
    <row r="844" spans="3:7" ht="13.2">
      <c r="C844" s="2"/>
      <c r="D844" s="3"/>
      <c r="E844" s="3"/>
      <c r="F844" s="3"/>
      <c r="G844" s="3"/>
    </row>
    <row r="845" spans="3:7" ht="13.2">
      <c r="C845" s="2"/>
      <c r="D845" s="3"/>
      <c r="E845" s="3"/>
      <c r="F845" s="3"/>
      <c r="G845" s="3"/>
    </row>
    <row r="846" spans="3:7" ht="13.2">
      <c r="C846" s="2"/>
      <c r="D846" s="3"/>
      <c r="E846" s="3"/>
      <c r="F846" s="3"/>
      <c r="G846" s="3"/>
    </row>
    <row r="847" spans="3:7" ht="13.2">
      <c r="C847" s="2"/>
      <c r="D847" s="3"/>
      <c r="E847" s="3"/>
      <c r="F847" s="3"/>
      <c r="G847" s="3"/>
    </row>
    <row r="848" spans="3:7" ht="13.2">
      <c r="C848" s="2"/>
      <c r="D848" s="3"/>
      <c r="E848" s="3"/>
      <c r="F848" s="3"/>
      <c r="G848" s="3"/>
    </row>
    <row r="849" spans="3:7" ht="13.2">
      <c r="C849" s="2"/>
      <c r="D849" s="3"/>
      <c r="E849" s="3"/>
      <c r="F849" s="3"/>
      <c r="G849" s="3"/>
    </row>
    <row r="850" spans="3:7" ht="13.2">
      <c r="C850" s="2"/>
      <c r="D850" s="3"/>
      <c r="E850" s="3"/>
      <c r="F850" s="3"/>
      <c r="G850" s="3"/>
    </row>
    <row r="851" spans="3:7" ht="13.2">
      <c r="C851" s="2"/>
      <c r="D851" s="3"/>
      <c r="E851" s="3"/>
      <c r="F851" s="3"/>
      <c r="G851" s="3"/>
    </row>
    <row r="852" spans="3:7" ht="13.2">
      <c r="C852" s="2"/>
      <c r="D852" s="3"/>
      <c r="E852" s="3"/>
      <c r="F852" s="3"/>
      <c r="G852" s="3"/>
    </row>
    <row r="853" spans="3:7" ht="13.2">
      <c r="C853" s="2"/>
      <c r="D853" s="3"/>
      <c r="E853" s="3"/>
      <c r="F853" s="3"/>
      <c r="G853" s="3"/>
    </row>
    <row r="854" spans="3:7" ht="13.2">
      <c r="C854" s="2"/>
      <c r="D854" s="3"/>
      <c r="E854" s="3"/>
      <c r="F854" s="3"/>
      <c r="G854" s="3"/>
    </row>
    <row r="855" spans="3:7" ht="13.2">
      <c r="C855" s="2"/>
      <c r="D855" s="3"/>
      <c r="E855" s="3"/>
      <c r="F855" s="3"/>
      <c r="G855" s="3"/>
    </row>
    <row r="856" spans="3:7" ht="13.2">
      <c r="C856" s="2"/>
      <c r="D856" s="3"/>
      <c r="E856" s="3"/>
      <c r="F856" s="3"/>
      <c r="G856" s="3"/>
    </row>
    <row r="857" spans="3:7" ht="13.2">
      <c r="C857" s="2"/>
      <c r="D857" s="3"/>
      <c r="E857" s="3"/>
      <c r="F857" s="3"/>
      <c r="G857" s="3"/>
    </row>
    <row r="858" spans="3:7" ht="13.2">
      <c r="C858" s="2"/>
      <c r="D858" s="3"/>
      <c r="E858" s="3"/>
      <c r="F858" s="3"/>
      <c r="G858" s="3"/>
    </row>
    <row r="859" spans="3:7" ht="13.2">
      <c r="C859" s="2"/>
      <c r="D859" s="3"/>
      <c r="E859" s="3"/>
      <c r="F859" s="3"/>
      <c r="G859" s="3"/>
    </row>
    <row r="860" spans="3:7" ht="13.2">
      <c r="C860" s="2"/>
      <c r="D860" s="3"/>
      <c r="E860" s="3"/>
      <c r="F860" s="3"/>
      <c r="G860" s="3"/>
    </row>
    <row r="861" spans="3:7" ht="13.2">
      <c r="C861" s="2"/>
      <c r="D861" s="3"/>
      <c r="E861" s="3"/>
      <c r="F861" s="3"/>
      <c r="G861" s="3"/>
    </row>
    <row r="862" spans="3:7" ht="13.2">
      <c r="C862" s="2"/>
      <c r="D862" s="3"/>
      <c r="E862" s="3"/>
      <c r="F862" s="3"/>
      <c r="G862" s="3"/>
    </row>
    <row r="863" spans="3:7" ht="13.2">
      <c r="C863" s="2"/>
      <c r="D863" s="3"/>
      <c r="E863" s="3"/>
      <c r="F863" s="3"/>
      <c r="G863" s="3"/>
    </row>
    <row r="864" spans="3:7" ht="13.2">
      <c r="C864" s="2"/>
      <c r="D864" s="3"/>
      <c r="E864" s="3"/>
      <c r="F864" s="3"/>
      <c r="G864" s="3"/>
    </row>
    <row r="865" spans="3:7" ht="13.2">
      <c r="C865" s="2"/>
      <c r="D865" s="3"/>
      <c r="E865" s="3"/>
      <c r="F865" s="3"/>
      <c r="G865" s="3"/>
    </row>
    <row r="866" spans="3:7" ht="13.2">
      <c r="C866" s="2"/>
      <c r="D866" s="3"/>
      <c r="E866" s="3"/>
      <c r="F866" s="3"/>
      <c r="G866" s="3"/>
    </row>
    <row r="867" spans="3:7" ht="13.2">
      <c r="C867" s="2"/>
      <c r="D867" s="3"/>
      <c r="E867" s="3"/>
      <c r="F867" s="3"/>
      <c r="G867" s="3"/>
    </row>
    <row r="868" spans="3:7" ht="13.2">
      <c r="C868" s="2"/>
      <c r="D868" s="3"/>
      <c r="E868" s="3"/>
      <c r="F868" s="3"/>
      <c r="G868" s="3"/>
    </row>
    <row r="869" spans="3:7" ht="13.2">
      <c r="C869" s="2"/>
      <c r="D869" s="3"/>
      <c r="E869" s="3"/>
      <c r="F869" s="3"/>
      <c r="G869" s="3"/>
    </row>
    <row r="870" spans="3:7" ht="13.2">
      <c r="C870" s="2"/>
      <c r="D870" s="3"/>
      <c r="E870" s="3"/>
      <c r="F870" s="3"/>
      <c r="G870" s="3"/>
    </row>
    <row r="871" spans="3:7" ht="13.2">
      <c r="C871" s="2"/>
      <c r="D871" s="3"/>
      <c r="E871" s="3"/>
      <c r="F871" s="3"/>
      <c r="G871" s="3"/>
    </row>
    <row r="872" spans="3:7" ht="13.2">
      <c r="C872" s="2"/>
      <c r="D872" s="3"/>
      <c r="E872" s="3"/>
      <c r="F872" s="3"/>
      <c r="G872" s="3"/>
    </row>
    <row r="873" spans="3:7" ht="13.2">
      <c r="C873" s="2"/>
      <c r="D873" s="3"/>
      <c r="E873" s="3"/>
      <c r="F873" s="3"/>
      <c r="G873" s="3"/>
    </row>
    <row r="874" spans="3:7" ht="13.2">
      <c r="C874" s="2"/>
      <c r="D874" s="3"/>
      <c r="E874" s="3"/>
      <c r="F874" s="3"/>
      <c r="G874" s="3"/>
    </row>
    <row r="875" spans="3:7" ht="13.2">
      <c r="C875" s="2"/>
      <c r="D875" s="3"/>
      <c r="E875" s="3"/>
      <c r="F875" s="3"/>
      <c r="G875" s="3"/>
    </row>
    <row r="876" spans="3:7" ht="13.2">
      <c r="C876" s="2"/>
      <c r="D876" s="3"/>
      <c r="E876" s="3"/>
      <c r="F876" s="3"/>
      <c r="G876" s="3"/>
    </row>
    <row r="877" spans="3:7" ht="13.2">
      <c r="C877" s="2"/>
      <c r="D877" s="3"/>
      <c r="E877" s="3"/>
      <c r="F877" s="3"/>
      <c r="G877" s="3"/>
    </row>
    <row r="878" spans="3:7" ht="13.2">
      <c r="C878" s="2"/>
      <c r="D878" s="3"/>
      <c r="E878" s="3"/>
      <c r="F878" s="3"/>
      <c r="G878" s="3"/>
    </row>
    <row r="879" spans="3:7" ht="13.2">
      <c r="C879" s="2"/>
      <c r="D879" s="3"/>
      <c r="E879" s="3"/>
      <c r="F879" s="3"/>
      <c r="G879" s="3"/>
    </row>
    <row r="880" spans="3:7" ht="13.2">
      <c r="C880" s="2"/>
      <c r="D880" s="3"/>
      <c r="E880" s="3"/>
      <c r="F880" s="3"/>
      <c r="G880" s="3"/>
    </row>
    <row r="881" spans="3:7" ht="13.2">
      <c r="C881" s="2"/>
      <c r="D881" s="3"/>
      <c r="E881" s="3"/>
      <c r="F881" s="3"/>
      <c r="G881" s="3"/>
    </row>
    <row r="882" spans="3:7" ht="13.2">
      <c r="C882" s="2"/>
      <c r="D882" s="3"/>
      <c r="E882" s="3"/>
      <c r="F882" s="3"/>
      <c r="G882" s="3"/>
    </row>
    <row r="883" spans="3:7" ht="13.2">
      <c r="C883" s="2"/>
      <c r="D883" s="3"/>
      <c r="E883" s="3"/>
      <c r="F883" s="3"/>
      <c r="G883" s="3"/>
    </row>
    <row r="884" spans="3:7" ht="13.2">
      <c r="C884" s="2"/>
      <c r="D884" s="3"/>
      <c r="E884" s="3"/>
      <c r="F884" s="3"/>
      <c r="G884" s="3"/>
    </row>
    <row r="885" spans="3:7" ht="13.2">
      <c r="C885" s="2"/>
      <c r="D885" s="3"/>
      <c r="E885" s="3"/>
      <c r="F885" s="3"/>
      <c r="G885" s="3"/>
    </row>
    <row r="886" spans="3:7" ht="13.2">
      <c r="C886" s="2"/>
      <c r="D886" s="3"/>
      <c r="E886" s="3"/>
      <c r="F886" s="3"/>
      <c r="G886" s="3"/>
    </row>
    <row r="887" spans="3:7" ht="13.2">
      <c r="C887" s="2"/>
      <c r="D887" s="3"/>
      <c r="E887" s="3"/>
      <c r="F887" s="3"/>
      <c r="G887" s="3"/>
    </row>
    <row r="888" spans="3:7" ht="13.2">
      <c r="C888" s="2"/>
      <c r="D888" s="3"/>
      <c r="E888" s="3"/>
      <c r="F888" s="3"/>
      <c r="G888" s="3"/>
    </row>
    <row r="889" spans="3:7" ht="13.2">
      <c r="C889" s="2"/>
      <c r="D889" s="3"/>
      <c r="E889" s="3"/>
      <c r="F889" s="3"/>
      <c r="G889" s="3"/>
    </row>
    <row r="890" spans="3:7" ht="13.2">
      <c r="C890" s="2"/>
      <c r="D890" s="3"/>
      <c r="E890" s="3"/>
      <c r="F890" s="3"/>
      <c r="G890" s="3"/>
    </row>
    <row r="891" spans="3:7" ht="13.2">
      <c r="C891" s="2"/>
      <c r="D891" s="3"/>
      <c r="E891" s="3"/>
      <c r="F891" s="3"/>
      <c r="G891" s="3"/>
    </row>
    <row r="892" spans="3:7" ht="13.2">
      <c r="C892" s="2"/>
      <c r="D892" s="3"/>
      <c r="E892" s="3"/>
      <c r="F892" s="3"/>
      <c r="G892" s="3"/>
    </row>
    <row r="893" spans="3:7" ht="13.2">
      <c r="C893" s="2"/>
      <c r="D893" s="3"/>
      <c r="E893" s="3"/>
      <c r="F893" s="3"/>
      <c r="G893" s="3"/>
    </row>
    <row r="894" spans="3:7" ht="13.2">
      <c r="C894" s="2"/>
      <c r="D894" s="3"/>
      <c r="E894" s="3"/>
      <c r="F894" s="3"/>
      <c r="G894" s="3"/>
    </row>
    <row r="895" spans="3:7" ht="13.2">
      <c r="C895" s="2"/>
      <c r="D895" s="3"/>
      <c r="E895" s="3"/>
      <c r="F895" s="3"/>
      <c r="G895" s="3"/>
    </row>
    <row r="896" spans="3:7" ht="13.2">
      <c r="C896" s="2"/>
      <c r="D896" s="3"/>
      <c r="E896" s="3"/>
      <c r="F896" s="3"/>
      <c r="G896" s="3"/>
    </row>
    <row r="897" spans="3:7" ht="13.2">
      <c r="C897" s="2"/>
      <c r="D897" s="3"/>
      <c r="E897" s="3"/>
      <c r="F897" s="3"/>
      <c r="G897" s="3"/>
    </row>
    <row r="898" spans="3:7" ht="13.2">
      <c r="C898" s="2"/>
      <c r="D898" s="3"/>
      <c r="E898" s="3"/>
      <c r="F898" s="3"/>
      <c r="G898" s="3"/>
    </row>
    <row r="899" spans="3:7" ht="13.2">
      <c r="C899" s="2"/>
      <c r="D899" s="3"/>
      <c r="E899" s="3"/>
      <c r="F899" s="3"/>
      <c r="G899" s="3"/>
    </row>
    <row r="900" spans="3:7" ht="13.2">
      <c r="C900" s="2"/>
      <c r="D900" s="3"/>
      <c r="E900" s="3"/>
      <c r="F900" s="3"/>
      <c r="G900" s="3"/>
    </row>
    <row r="901" spans="3:7" ht="13.2">
      <c r="C901" s="2"/>
      <c r="D901" s="3"/>
      <c r="E901" s="3"/>
      <c r="F901" s="3"/>
      <c r="G901" s="3"/>
    </row>
    <row r="902" spans="3:7" ht="13.2">
      <c r="C902" s="2"/>
      <c r="D902" s="3"/>
      <c r="E902" s="3"/>
      <c r="F902" s="3"/>
      <c r="G902" s="3"/>
    </row>
    <row r="903" spans="3:7" ht="13.2">
      <c r="C903" s="2"/>
      <c r="D903" s="3"/>
      <c r="E903" s="3"/>
      <c r="F903" s="3"/>
      <c r="G903" s="3"/>
    </row>
    <row r="904" spans="3:7" ht="13.2">
      <c r="C904" s="2"/>
      <c r="D904" s="3"/>
      <c r="E904" s="3"/>
      <c r="F904" s="3"/>
      <c r="G904" s="3"/>
    </row>
    <row r="905" spans="3:7" ht="13.2">
      <c r="C905" s="2"/>
      <c r="D905" s="3"/>
      <c r="E905" s="3"/>
      <c r="F905" s="3"/>
      <c r="G905" s="3"/>
    </row>
    <row r="906" spans="3:7" ht="13.2">
      <c r="C906" s="2"/>
      <c r="D906" s="3"/>
      <c r="E906" s="3"/>
      <c r="F906" s="3"/>
      <c r="G906" s="3"/>
    </row>
    <row r="907" spans="3:7" ht="13.2">
      <c r="C907" s="2"/>
      <c r="D907" s="3"/>
      <c r="E907" s="3"/>
      <c r="F907" s="3"/>
      <c r="G907" s="3"/>
    </row>
    <row r="908" spans="3:7" ht="13.2">
      <c r="C908" s="2"/>
      <c r="D908" s="3"/>
      <c r="E908" s="3"/>
      <c r="F908" s="3"/>
      <c r="G908" s="3"/>
    </row>
    <row r="909" spans="3:7" ht="13.2">
      <c r="C909" s="2"/>
      <c r="D909" s="3"/>
      <c r="E909" s="3"/>
      <c r="F909" s="3"/>
      <c r="G909" s="3"/>
    </row>
    <row r="910" spans="3:7" ht="13.2">
      <c r="C910" s="2"/>
      <c r="D910" s="3"/>
      <c r="E910" s="3"/>
      <c r="F910" s="3"/>
      <c r="G910" s="3"/>
    </row>
    <row r="911" spans="3:7" ht="13.2">
      <c r="C911" s="2"/>
      <c r="D911" s="3"/>
      <c r="E911" s="3"/>
      <c r="F911" s="3"/>
      <c r="G911" s="3"/>
    </row>
    <row r="912" spans="3:7" ht="13.2">
      <c r="C912" s="2"/>
      <c r="D912" s="3"/>
      <c r="E912" s="3"/>
      <c r="F912" s="3"/>
      <c r="G912" s="3"/>
    </row>
    <row r="913" spans="3:7" ht="13.2">
      <c r="C913" s="2"/>
      <c r="D913" s="3"/>
      <c r="E913" s="3"/>
      <c r="F913" s="3"/>
      <c r="G913" s="3"/>
    </row>
    <row r="914" spans="3:7" ht="13.2">
      <c r="C914" s="2"/>
      <c r="D914" s="3"/>
      <c r="E914" s="3"/>
      <c r="F914" s="3"/>
      <c r="G914" s="3"/>
    </row>
    <row r="915" spans="3:7" ht="13.2">
      <c r="C915" s="2"/>
      <c r="D915" s="3"/>
      <c r="E915" s="3"/>
      <c r="F915" s="3"/>
      <c r="G915" s="3"/>
    </row>
    <row r="916" spans="3:7" ht="13.2">
      <c r="C916" s="2"/>
      <c r="D916" s="3"/>
      <c r="E916" s="3"/>
      <c r="F916" s="3"/>
      <c r="G916" s="3"/>
    </row>
    <row r="917" spans="3:7" ht="13.2">
      <c r="C917" s="2"/>
      <c r="D917" s="3"/>
      <c r="E917" s="3"/>
      <c r="F917" s="3"/>
      <c r="G917" s="3"/>
    </row>
    <row r="918" spans="3:7" ht="13.2">
      <c r="C918" s="2"/>
      <c r="D918" s="3"/>
      <c r="E918" s="3"/>
      <c r="F918" s="3"/>
      <c r="G918" s="3"/>
    </row>
    <row r="919" spans="3:7" ht="13.2">
      <c r="C919" s="2"/>
      <c r="D919" s="3"/>
      <c r="E919" s="3"/>
      <c r="F919" s="3"/>
      <c r="G919" s="3"/>
    </row>
    <row r="920" spans="3:7" ht="13.2">
      <c r="C920" s="2"/>
      <c r="D920" s="3"/>
      <c r="E920" s="3"/>
      <c r="F920" s="3"/>
      <c r="G920" s="3"/>
    </row>
    <row r="921" spans="3:7" ht="13.2">
      <c r="C921" s="2"/>
      <c r="D921" s="3"/>
      <c r="E921" s="3"/>
      <c r="F921" s="3"/>
      <c r="G921" s="3"/>
    </row>
    <row r="922" spans="3:7" ht="13.2">
      <c r="C922" s="2"/>
      <c r="D922" s="3"/>
      <c r="E922" s="3"/>
      <c r="F922" s="3"/>
      <c r="G922" s="3"/>
    </row>
    <row r="923" spans="3:7" ht="13.2">
      <c r="C923" s="2"/>
      <c r="D923" s="3"/>
      <c r="E923" s="3"/>
      <c r="F923" s="3"/>
      <c r="G923" s="3"/>
    </row>
    <row r="924" spans="3:7" ht="13.2">
      <c r="C924" s="2"/>
      <c r="D924" s="3"/>
      <c r="E924" s="3"/>
      <c r="F924" s="3"/>
      <c r="G924" s="3"/>
    </row>
    <row r="925" spans="3:7" ht="13.2">
      <c r="C925" s="2"/>
      <c r="D925" s="3"/>
      <c r="E925" s="3"/>
      <c r="F925" s="3"/>
      <c r="G925" s="3"/>
    </row>
    <row r="926" spans="3:7" ht="13.2">
      <c r="C926" s="2"/>
      <c r="D926" s="3"/>
      <c r="E926" s="3"/>
      <c r="F926" s="3"/>
      <c r="G926" s="3"/>
    </row>
    <row r="927" spans="3:7" ht="13.2">
      <c r="C927" s="2"/>
      <c r="D927" s="3"/>
      <c r="E927" s="3"/>
      <c r="F927" s="3"/>
      <c r="G927" s="3"/>
    </row>
    <row r="928" spans="3:7" ht="13.2">
      <c r="C928" s="2"/>
      <c r="D928" s="3"/>
      <c r="E928" s="3"/>
      <c r="F928" s="3"/>
      <c r="G928" s="3"/>
    </row>
    <row r="929" spans="3:7" ht="13.2">
      <c r="C929" s="2"/>
      <c r="D929" s="3"/>
      <c r="E929" s="3"/>
      <c r="F929" s="3"/>
      <c r="G929" s="3"/>
    </row>
    <row r="930" spans="3:7" ht="13.2">
      <c r="C930" s="2"/>
      <c r="D930" s="3"/>
      <c r="E930" s="3"/>
      <c r="F930" s="3"/>
      <c r="G930" s="3"/>
    </row>
    <row r="931" spans="3:7" ht="13.2">
      <c r="C931" s="2"/>
      <c r="D931" s="3"/>
      <c r="E931" s="3"/>
      <c r="F931" s="3"/>
      <c r="G931" s="3"/>
    </row>
    <row r="932" spans="3:7" ht="13.2">
      <c r="C932" s="2"/>
      <c r="D932" s="3"/>
      <c r="E932" s="3"/>
      <c r="F932" s="3"/>
      <c r="G932" s="3"/>
    </row>
    <row r="933" spans="3:7" ht="13.2">
      <c r="C933" s="2"/>
      <c r="D933" s="3"/>
      <c r="E933" s="3"/>
      <c r="F933" s="3"/>
      <c r="G933" s="3"/>
    </row>
    <row r="934" spans="3:7" ht="13.2">
      <c r="C934" s="2"/>
      <c r="D934" s="3"/>
      <c r="E934" s="3"/>
      <c r="F934" s="3"/>
      <c r="G934" s="3"/>
    </row>
    <row r="935" spans="3:7" ht="13.2">
      <c r="C935" s="2"/>
      <c r="D935" s="3"/>
      <c r="E935" s="3"/>
      <c r="F935" s="3"/>
      <c r="G935" s="3"/>
    </row>
    <row r="936" spans="3:7" ht="13.2">
      <c r="C936" s="2"/>
      <c r="D936" s="3"/>
      <c r="E936" s="3"/>
      <c r="F936" s="3"/>
      <c r="G936" s="3"/>
    </row>
    <row r="937" spans="3:7" ht="13.2">
      <c r="C937" s="2"/>
      <c r="D937" s="3"/>
      <c r="E937" s="3"/>
      <c r="F937" s="3"/>
      <c r="G937" s="3"/>
    </row>
    <row r="938" spans="3:7" ht="13.2">
      <c r="C938" s="2"/>
      <c r="D938" s="3"/>
      <c r="E938" s="3"/>
      <c r="F938" s="3"/>
      <c r="G938" s="3"/>
    </row>
    <row r="939" spans="3:7" ht="13.2">
      <c r="C939" s="2"/>
      <c r="D939" s="3"/>
      <c r="E939" s="3"/>
      <c r="F939" s="3"/>
      <c r="G939" s="3"/>
    </row>
    <row r="940" spans="3:7" ht="13.2">
      <c r="C940" s="2"/>
      <c r="D940" s="3"/>
      <c r="E940" s="3"/>
      <c r="F940" s="3"/>
      <c r="G940" s="3"/>
    </row>
    <row r="941" spans="3:7" ht="13.2">
      <c r="C941" s="2"/>
      <c r="D941" s="3"/>
      <c r="E941" s="3"/>
      <c r="F941" s="3"/>
      <c r="G941" s="3"/>
    </row>
    <row r="942" spans="3:7" ht="13.2">
      <c r="C942" s="2"/>
      <c r="D942" s="3"/>
      <c r="E942" s="3"/>
      <c r="F942" s="3"/>
      <c r="G942" s="3"/>
    </row>
    <row r="943" spans="3:7" ht="13.2">
      <c r="C943" s="2"/>
      <c r="D943" s="3"/>
      <c r="E943" s="3"/>
      <c r="F943" s="3"/>
      <c r="G943" s="3"/>
    </row>
    <row r="944" spans="3:7" ht="13.2">
      <c r="C944" s="2"/>
      <c r="D944" s="3"/>
      <c r="E944" s="3"/>
      <c r="F944" s="3"/>
      <c r="G944" s="3"/>
    </row>
    <row r="945" spans="3:7" ht="13.2">
      <c r="C945" s="2"/>
      <c r="D945" s="3"/>
      <c r="E945" s="3"/>
      <c r="F945" s="3"/>
      <c r="G945" s="3"/>
    </row>
    <row r="946" spans="3:7" ht="13.2">
      <c r="C946" s="2"/>
      <c r="D946" s="3"/>
      <c r="E946" s="3"/>
      <c r="F946" s="3"/>
      <c r="G946" s="3"/>
    </row>
    <row r="947" spans="3:7" ht="13.2">
      <c r="C947" s="2"/>
      <c r="D947" s="3"/>
      <c r="E947" s="3"/>
      <c r="F947" s="3"/>
      <c r="G947" s="3"/>
    </row>
    <row r="948" spans="3:7" ht="13.2">
      <c r="C948" s="2"/>
      <c r="D948" s="3"/>
      <c r="E948" s="3"/>
      <c r="F948" s="3"/>
      <c r="G948" s="3"/>
    </row>
    <row r="949" spans="3:7" ht="13.2">
      <c r="C949" s="2"/>
      <c r="D949" s="3"/>
      <c r="E949" s="3"/>
      <c r="F949" s="3"/>
      <c r="G949" s="3"/>
    </row>
    <row r="950" spans="3:7" ht="13.2">
      <c r="C950" s="2"/>
      <c r="D950" s="3"/>
      <c r="E950" s="3"/>
      <c r="F950" s="3"/>
      <c r="G950" s="3"/>
    </row>
    <row r="951" spans="3:7" ht="13.2">
      <c r="C951" s="2"/>
      <c r="D951" s="3"/>
      <c r="E951" s="3"/>
      <c r="F951" s="3"/>
      <c r="G951" s="3"/>
    </row>
    <row r="952" spans="3:7" ht="13.2">
      <c r="C952" s="2"/>
      <c r="D952" s="3"/>
      <c r="E952" s="3"/>
      <c r="F952" s="3"/>
      <c r="G952" s="3"/>
    </row>
    <row r="953" spans="3:7" ht="13.2">
      <c r="C953" s="2"/>
      <c r="D953" s="3"/>
      <c r="E953" s="3"/>
      <c r="F953" s="3"/>
      <c r="G953" s="3"/>
    </row>
    <row r="954" spans="3:7" ht="13.2">
      <c r="C954" s="2"/>
      <c r="D954" s="3"/>
      <c r="E954" s="3"/>
      <c r="F954" s="3"/>
      <c r="G954" s="3"/>
    </row>
    <row r="955" spans="3:7" ht="13.2">
      <c r="C955" s="2"/>
      <c r="D955" s="3"/>
      <c r="E955" s="3"/>
      <c r="F955" s="3"/>
      <c r="G955" s="3"/>
    </row>
    <row r="956" spans="3:7" ht="13.2">
      <c r="C956" s="2"/>
      <c r="D956" s="3"/>
      <c r="E956" s="3"/>
      <c r="F956" s="3"/>
      <c r="G956" s="3"/>
    </row>
    <row r="957" spans="3:7" ht="13.2">
      <c r="C957" s="2"/>
      <c r="D957" s="3"/>
      <c r="E957" s="3"/>
      <c r="F957" s="3"/>
      <c r="G957" s="3"/>
    </row>
    <row r="958" spans="3:7" ht="13.2">
      <c r="C958" s="2"/>
      <c r="D958" s="3"/>
      <c r="E958" s="3"/>
      <c r="F958" s="3"/>
      <c r="G958" s="3"/>
    </row>
    <row r="959" spans="3:7" ht="13.2">
      <c r="C959" s="2"/>
      <c r="D959" s="3"/>
      <c r="E959" s="3"/>
      <c r="F959" s="3"/>
      <c r="G959" s="3"/>
    </row>
    <row r="960" spans="3:7" ht="13.2">
      <c r="C960" s="2"/>
      <c r="D960" s="3"/>
      <c r="E960" s="3"/>
      <c r="F960" s="3"/>
      <c r="G960" s="3"/>
    </row>
    <row r="961" spans="3:7" ht="13.2">
      <c r="C961" s="2"/>
      <c r="D961" s="3"/>
      <c r="E961" s="3"/>
      <c r="F961" s="3"/>
      <c r="G961" s="3"/>
    </row>
    <row r="962" spans="3:7" ht="13.2">
      <c r="C962" s="2"/>
      <c r="D962" s="3"/>
      <c r="E962" s="3"/>
      <c r="F962" s="3"/>
      <c r="G962" s="3"/>
    </row>
    <row r="963" spans="3:7" ht="13.2">
      <c r="C963" s="2"/>
      <c r="D963" s="3"/>
      <c r="E963" s="3"/>
      <c r="F963" s="3"/>
      <c r="G963" s="3"/>
    </row>
    <row r="964" spans="3:7" ht="13.2">
      <c r="C964" s="2"/>
      <c r="D964" s="3"/>
      <c r="E964" s="3"/>
      <c r="F964" s="3"/>
      <c r="G964" s="3"/>
    </row>
    <row r="965" spans="3:7" ht="13.2">
      <c r="C965" s="2"/>
      <c r="D965" s="3"/>
      <c r="E965" s="3"/>
      <c r="F965" s="3"/>
      <c r="G965" s="3"/>
    </row>
    <row r="966" spans="3:7" ht="13.2">
      <c r="C966" s="2"/>
      <c r="D966" s="3"/>
      <c r="E966" s="3"/>
      <c r="F966" s="3"/>
      <c r="G966" s="3"/>
    </row>
    <row r="967" spans="3:7" ht="13.2">
      <c r="C967" s="2"/>
      <c r="D967" s="3"/>
      <c r="E967" s="3"/>
      <c r="F967" s="3"/>
      <c r="G967" s="3"/>
    </row>
    <row r="968" spans="3:7" ht="13.2">
      <c r="C968" s="2"/>
      <c r="D968" s="3"/>
      <c r="E968" s="3"/>
      <c r="F968" s="3"/>
      <c r="G968" s="3"/>
    </row>
    <row r="969" spans="3:7" ht="13.2">
      <c r="C969" s="2"/>
      <c r="D969" s="3"/>
      <c r="E969" s="3"/>
      <c r="F969" s="3"/>
      <c r="G969" s="3"/>
    </row>
    <row r="970" spans="3:7" ht="13.2">
      <c r="C970" s="2"/>
      <c r="D970" s="3"/>
      <c r="E970" s="3"/>
      <c r="F970" s="3"/>
      <c r="G970" s="3"/>
    </row>
    <row r="971" spans="3:7" ht="13.2">
      <c r="C971" s="2"/>
      <c r="D971" s="3"/>
      <c r="E971" s="3"/>
      <c r="F971" s="3"/>
      <c r="G971" s="3"/>
    </row>
    <row r="972" spans="3:7" ht="13.2">
      <c r="C972" s="2"/>
      <c r="D972" s="3"/>
      <c r="E972" s="3"/>
      <c r="F972" s="3"/>
      <c r="G972" s="3"/>
    </row>
    <row r="973" spans="3:7" ht="13.2">
      <c r="C973" s="2"/>
      <c r="D973" s="3"/>
      <c r="E973" s="3"/>
      <c r="F973" s="3"/>
      <c r="G973" s="3"/>
    </row>
    <row r="974" spans="3:7" ht="13.2">
      <c r="C974" s="2"/>
      <c r="D974" s="3"/>
      <c r="E974" s="3"/>
      <c r="F974" s="3"/>
      <c r="G974" s="3"/>
    </row>
    <row r="975" spans="3:7" ht="13.2">
      <c r="C975" s="2"/>
      <c r="D975" s="3"/>
      <c r="E975" s="3"/>
      <c r="F975" s="3"/>
      <c r="G975" s="3"/>
    </row>
    <row r="976" spans="3:7" ht="13.2">
      <c r="C976" s="2"/>
      <c r="D976" s="3"/>
      <c r="E976" s="3"/>
      <c r="F976" s="3"/>
      <c r="G976" s="3"/>
    </row>
    <row r="977" spans="3:7" ht="13.2">
      <c r="C977" s="2"/>
      <c r="D977" s="3"/>
      <c r="E977" s="3"/>
      <c r="F977" s="3"/>
      <c r="G977" s="3"/>
    </row>
    <row r="978" spans="3:7" ht="13.2">
      <c r="C978" s="2"/>
      <c r="D978" s="3"/>
      <c r="E978" s="3"/>
      <c r="F978" s="3"/>
      <c r="G978" s="3"/>
    </row>
    <row r="979" spans="3:7" ht="13.2">
      <c r="C979" s="2"/>
      <c r="D979" s="3"/>
      <c r="E979" s="3"/>
      <c r="F979" s="3"/>
      <c r="G979" s="3"/>
    </row>
    <row r="980" spans="3:7" ht="13.2">
      <c r="C980" s="2"/>
      <c r="D980" s="3"/>
      <c r="E980" s="3"/>
      <c r="F980" s="3"/>
      <c r="G980" s="3"/>
    </row>
    <row r="981" spans="3:7" ht="13.2">
      <c r="C981" s="2"/>
      <c r="D981" s="3"/>
      <c r="E981" s="3"/>
      <c r="F981" s="3"/>
      <c r="G981" s="3"/>
    </row>
    <row r="982" spans="3:7" ht="13.2">
      <c r="C982" s="2"/>
      <c r="D982" s="3"/>
      <c r="E982" s="3"/>
      <c r="F982" s="3"/>
      <c r="G982" s="3"/>
    </row>
    <row r="983" spans="3:7" ht="13.2">
      <c r="C983" s="2"/>
      <c r="D983" s="3"/>
      <c r="E983" s="3"/>
      <c r="F983" s="3"/>
      <c r="G983" s="3"/>
    </row>
    <row r="984" spans="3:7" ht="13.2">
      <c r="C984" s="2"/>
      <c r="D984" s="3"/>
      <c r="E984" s="3"/>
      <c r="F984" s="3"/>
      <c r="G984" s="3"/>
    </row>
    <row r="985" spans="3:7" ht="13.2">
      <c r="C985" s="2"/>
      <c r="D985" s="3"/>
      <c r="E985" s="3"/>
      <c r="F985" s="3"/>
      <c r="G985" s="3"/>
    </row>
    <row r="986" spans="3:7" ht="13.2">
      <c r="C986" s="2"/>
      <c r="D986" s="3"/>
      <c r="E986" s="3"/>
      <c r="F986" s="3"/>
      <c r="G986" s="3"/>
    </row>
    <row r="987" spans="3:7" ht="13.2">
      <c r="C987" s="2"/>
      <c r="D987" s="3"/>
      <c r="E987" s="3"/>
      <c r="F987" s="3"/>
      <c r="G987" s="3"/>
    </row>
    <row r="988" spans="3:7" ht="13.2">
      <c r="C988" s="2"/>
      <c r="D988" s="3"/>
      <c r="E988" s="3"/>
      <c r="F988" s="3"/>
      <c r="G988" s="3"/>
    </row>
    <row r="989" spans="3:7" ht="13.2">
      <c r="C989" s="2"/>
      <c r="D989" s="3"/>
      <c r="E989" s="3"/>
      <c r="F989" s="3"/>
      <c r="G989" s="3"/>
    </row>
    <row r="990" spans="3:7" ht="13.2">
      <c r="C990" s="2"/>
      <c r="D990" s="3"/>
      <c r="E990" s="3"/>
      <c r="F990" s="3"/>
      <c r="G990" s="3"/>
    </row>
    <row r="991" spans="3:7" ht="13.2">
      <c r="C991" s="2"/>
      <c r="D991" s="3"/>
      <c r="E991" s="3"/>
      <c r="F991" s="3"/>
      <c r="G991" s="3"/>
    </row>
    <row r="992" spans="3:7" ht="13.2">
      <c r="C992" s="2"/>
      <c r="D992" s="3"/>
      <c r="E992" s="3"/>
      <c r="F992" s="3"/>
      <c r="G992" s="3"/>
    </row>
    <row r="993" spans="3:7" ht="13.2">
      <c r="C993" s="2"/>
      <c r="D993" s="3"/>
      <c r="E993" s="3"/>
      <c r="F993" s="3"/>
      <c r="G993" s="3"/>
    </row>
    <row r="994" spans="3:7" ht="13.2">
      <c r="C994" s="2"/>
      <c r="D994" s="3"/>
      <c r="E994" s="3"/>
      <c r="F994" s="3"/>
      <c r="G994" s="3"/>
    </row>
    <row r="995" spans="3:7" ht="13.2">
      <c r="C995" s="2"/>
      <c r="D995" s="3"/>
      <c r="E995" s="3"/>
      <c r="F995" s="3"/>
      <c r="G995" s="3"/>
    </row>
    <row r="996" spans="3:7" ht="13.2">
      <c r="C996" s="2"/>
      <c r="D996" s="3"/>
      <c r="E996" s="3"/>
      <c r="F996" s="3"/>
      <c r="G996" s="3"/>
    </row>
  </sheetData>
  <phoneticPr fontId="69" type="noConversion"/>
  <hyperlinks>
    <hyperlink ref="J69" r:id="rId1" xr:uid="{00000000-0004-0000-0000-000000000000}"/>
  </hyperlinks>
  <pageMargins left="0.7" right="0.7" top="0.75" bottom="0.75" header="0.3" footer="0.3"/>
  <legacyDrawing r:id="rId2"/>
  <tableParts count="4">
    <tablePart r:id="rId3"/>
    <tablePart r:id="rId4"/>
    <tablePart r:id="rId5"/>
    <tablePart r:id="rId6"/>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B2:X133"/>
  <sheetViews>
    <sheetView workbookViewId="0"/>
  </sheetViews>
  <sheetFormatPr defaultColWidth="12.6640625" defaultRowHeight="15.75" customHeight="1"/>
  <cols>
    <col min="4" max="4" width="7" customWidth="1"/>
    <col min="5" max="5" width="22.109375" customWidth="1"/>
    <col min="6" max="6" width="18.21875" customWidth="1"/>
    <col min="7" max="7" width="13" customWidth="1"/>
    <col min="9" max="9" width="11.33203125" customWidth="1"/>
    <col min="10" max="10" width="17" customWidth="1"/>
    <col min="11" max="11" width="15.6640625" customWidth="1"/>
    <col min="12" max="12" width="20.44140625" customWidth="1"/>
    <col min="14" max="14" width="16" customWidth="1"/>
    <col min="18" max="18" width="16.109375" customWidth="1"/>
    <col min="21" max="21" width="14.109375" customWidth="1"/>
    <col min="22" max="22" width="15.77734375" customWidth="1"/>
    <col min="23" max="23" width="17.88671875" customWidth="1"/>
  </cols>
  <sheetData>
    <row r="2" spans="2:20">
      <c r="B2" s="288" t="s">
        <v>807</v>
      </c>
    </row>
    <row r="3" spans="2:20">
      <c r="G3" s="47"/>
      <c r="H3" s="47"/>
      <c r="I3" s="41"/>
      <c r="J3" s="47"/>
    </row>
    <row r="4" spans="2:20">
      <c r="B4" s="88"/>
      <c r="C4" s="88"/>
      <c r="D4" s="88"/>
      <c r="E4" s="88"/>
      <c r="F4" s="88"/>
      <c r="G4" s="88"/>
      <c r="H4" s="88"/>
      <c r="I4" s="88"/>
      <c r="J4" s="88"/>
      <c r="K4" s="88"/>
      <c r="L4" s="88"/>
      <c r="M4" s="88"/>
      <c r="N4" s="88"/>
      <c r="O4" s="88"/>
      <c r="P4" s="88"/>
    </row>
    <row r="5" spans="2:20">
      <c r="B5" s="289" t="s">
        <v>808</v>
      </c>
      <c r="C5" s="290" t="s">
        <v>424</v>
      </c>
      <c r="D5" s="290" t="s">
        <v>809</v>
      </c>
      <c r="E5" s="290" t="s">
        <v>703</v>
      </c>
      <c r="F5" s="290" t="s">
        <v>810</v>
      </c>
      <c r="G5" s="290" t="s">
        <v>811</v>
      </c>
      <c r="H5" s="291" t="s">
        <v>812</v>
      </c>
      <c r="J5" s="88" t="s">
        <v>813</v>
      </c>
      <c r="K5" s="292">
        <v>12862800000000</v>
      </c>
      <c r="M5" s="88"/>
      <c r="N5" s="88"/>
      <c r="O5" s="88"/>
      <c r="P5" s="88"/>
    </row>
    <row r="6" spans="2:20">
      <c r="B6" s="293"/>
      <c r="C6" s="203" t="s">
        <v>476</v>
      </c>
      <c r="D6" s="181">
        <v>4</v>
      </c>
      <c r="E6" s="294">
        <v>757700000000</v>
      </c>
      <c r="F6" s="278">
        <f>E6/4</f>
        <v>189425000000</v>
      </c>
      <c r="G6" s="88">
        <v>3</v>
      </c>
      <c r="H6" s="295" t="s">
        <v>473</v>
      </c>
      <c r="I6" s="1">
        <f t="shared" ref="I6:I21" si="0">E6/G6</f>
        <v>252566666666.66666</v>
      </c>
      <c r="J6" s="216" t="s">
        <v>424</v>
      </c>
      <c r="K6" s="216" t="s">
        <v>814</v>
      </c>
      <c r="L6" s="216" t="s">
        <v>815</v>
      </c>
      <c r="M6" s="88"/>
      <c r="N6" s="88"/>
      <c r="O6" s="88"/>
      <c r="P6" s="88"/>
      <c r="R6" s="88"/>
      <c r="S6" s="203" t="s">
        <v>476</v>
      </c>
      <c r="T6" s="181">
        <v>15</v>
      </c>
    </row>
    <row r="7" spans="2:20">
      <c r="B7" s="293"/>
      <c r="C7" s="88" t="s">
        <v>561</v>
      </c>
      <c r="D7" s="181">
        <v>4</v>
      </c>
      <c r="E7" s="294">
        <v>1070700000000</v>
      </c>
      <c r="F7" s="296">
        <v>267675000000</v>
      </c>
      <c r="G7" s="88">
        <v>3.25</v>
      </c>
      <c r="H7" s="295" t="s">
        <v>816</v>
      </c>
      <c r="I7" s="1">
        <f t="shared" si="0"/>
        <v>329446153846.15387</v>
      </c>
      <c r="J7" s="203" t="s">
        <v>476</v>
      </c>
      <c r="K7" s="181">
        <v>11</v>
      </c>
      <c r="L7" s="41">
        <f>E6+E8+E15+E17+E18</f>
        <v>2236000000000</v>
      </c>
      <c r="M7" s="88"/>
      <c r="N7" s="88" t="s">
        <v>473</v>
      </c>
      <c r="O7" s="181">
        <v>1</v>
      </c>
      <c r="P7" s="88"/>
      <c r="Q7" s="203"/>
      <c r="R7" s="88"/>
      <c r="S7" s="88" t="s">
        <v>472</v>
      </c>
      <c r="T7" s="181">
        <v>28</v>
      </c>
    </row>
    <row r="8" spans="2:20">
      <c r="B8" s="293"/>
      <c r="C8" s="88" t="s">
        <v>476</v>
      </c>
      <c r="D8" s="181">
        <v>2</v>
      </c>
      <c r="E8" s="294">
        <v>375300000000</v>
      </c>
      <c r="F8" s="296">
        <v>187650000000</v>
      </c>
      <c r="G8" s="88">
        <v>3</v>
      </c>
      <c r="H8" s="295" t="s">
        <v>477</v>
      </c>
      <c r="I8" s="1">
        <f t="shared" si="0"/>
        <v>125100000000</v>
      </c>
      <c r="J8" s="88" t="s">
        <v>472</v>
      </c>
      <c r="K8" s="181">
        <v>13</v>
      </c>
      <c r="L8" s="41">
        <f>E9+E10+E12+E13+E16+E21</f>
        <v>4720500000000</v>
      </c>
      <c r="M8" s="88"/>
      <c r="N8" s="88" t="s">
        <v>477</v>
      </c>
      <c r="O8" s="181">
        <v>5</v>
      </c>
      <c r="P8" s="88"/>
      <c r="R8" s="88"/>
      <c r="S8" s="88" t="s">
        <v>561</v>
      </c>
      <c r="T8" s="181">
        <v>23</v>
      </c>
    </row>
    <row r="9" spans="2:20">
      <c r="B9" s="293"/>
      <c r="C9" s="88" t="s">
        <v>472</v>
      </c>
      <c r="D9" s="181">
        <v>7</v>
      </c>
      <c r="E9" s="294">
        <v>2589100000000</v>
      </c>
      <c r="F9" s="296">
        <v>369871000000</v>
      </c>
      <c r="G9" s="88">
        <v>3.5</v>
      </c>
      <c r="H9" s="295" t="s">
        <v>480</v>
      </c>
      <c r="I9" s="1">
        <f t="shared" si="0"/>
        <v>739742857142.85718</v>
      </c>
      <c r="J9" s="88" t="s">
        <v>561</v>
      </c>
      <c r="K9" s="181">
        <v>17</v>
      </c>
      <c r="L9" s="41">
        <f>E7+E11+E19</f>
        <v>5332900000000</v>
      </c>
      <c r="M9" s="88"/>
      <c r="N9" s="88" t="s">
        <v>480</v>
      </c>
      <c r="O9" s="181">
        <v>1</v>
      </c>
      <c r="P9" s="88"/>
      <c r="R9" s="88"/>
      <c r="S9" s="88" t="s">
        <v>482</v>
      </c>
      <c r="T9" s="181">
        <v>1</v>
      </c>
    </row>
    <row r="10" spans="2:20">
      <c r="B10" s="293"/>
      <c r="C10" s="88" t="s">
        <v>472</v>
      </c>
      <c r="D10" s="181">
        <v>1</v>
      </c>
      <c r="E10" s="294">
        <v>353400000000</v>
      </c>
      <c r="F10" s="296">
        <v>353400000000</v>
      </c>
      <c r="G10" s="88">
        <f>2+8/12</f>
        <v>2.6666666666666665</v>
      </c>
      <c r="H10" s="295" t="s">
        <v>817</v>
      </c>
      <c r="I10" s="1">
        <f t="shared" si="0"/>
        <v>132525000000</v>
      </c>
      <c r="J10" s="88" t="s">
        <v>482</v>
      </c>
      <c r="K10" s="181">
        <v>1</v>
      </c>
      <c r="L10" s="41">
        <f>E14</f>
        <v>279400000000</v>
      </c>
      <c r="M10" s="88"/>
      <c r="N10" s="88" t="s">
        <v>817</v>
      </c>
      <c r="O10" s="181">
        <v>2</v>
      </c>
      <c r="P10" s="88"/>
      <c r="R10" s="88"/>
      <c r="S10" s="88" t="s">
        <v>489</v>
      </c>
      <c r="T10" s="181">
        <v>4</v>
      </c>
    </row>
    <row r="11" spans="2:20">
      <c r="B11" s="293"/>
      <c r="C11" s="88" t="s">
        <v>561</v>
      </c>
      <c r="D11" s="181">
        <v>7</v>
      </c>
      <c r="E11" s="297">
        <v>1933600000000</v>
      </c>
      <c r="F11" s="296">
        <v>276229000000</v>
      </c>
      <c r="G11" s="88">
        <v>3.75</v>
      </c>
      <c r="H11" s="295" t="s">
        <v>818</v>
      </c>
      <c r="I11" s="1">
        <f t="shared" si="0"/>
        <v>515626666666.66669</v>
      </c>
      <c r="J11" s="88" t="s">
        <v>489</v>
      </c>
      <c r="K11" s="181">
        <v>0</v>
      </c>
      <c r="M11" s="88"/>
      <c r="N11" s="88" t="s">
        <v>487</v>
      </c>
      <c r="O11" s="181">
        <v>1</v>
      </c>
      <c r="P11" s="88"/>
      <c r="R11" s="88"/>
      <c r="S11" s="88" t="s">
        <v>492</v>
      </c>
      <c r="T11" s="181">
        <v>2</v>
      </c>
    </row>
    <row r="12" spans="2:20">
      <c r="B12" s="293"/>
      <c r="C12" s="88" t="s">
        <v>472</v>
      </c>
      <c r="D12" s="181">
        <v>1</v>
      </c>
      <c r="E12" s="298">
        <v>351200000000</v>
      </c>
      <c r="F12" s="296">
        <v>351200000000</v>
      </c>
      <c r="G12" s="88">
        <v>2.5</v>
      </c>
      <c r="H12" s="295" t="s">
        <v>817</v>
      </c>
      <c r="I12" s="1">
        <f t="shared" si="0"/>
        <v>140480000000</v>
      </c>
      <c r="J12" s="88" t="s">
        <v>492</v>
      </c>
      <c r="K12" s="181">
        <v>0</v>
      </c>
      <c r="M12" s="88"/>
      <c r="N12" s="88" t="s">
        <v>490</v>
      </c>
      <c r="O12" s="181">
        <v>2</v>
      </c>
      <c r="P12" s="88"/>
      <c r="R12" s="88"/>
      <c r="S12" s="88" t="s">
        <v>496</v>
      </c>
      <c r="T12" s="181">
        <v>1</v>
      </c>
    </row>
    <row r="13" spans="2:20">
      <c r="B13" s="293"/>
      <c r="C13" s="88" t="s">
        <v>472</v>
      </c>
      <c r="D13" s="181">
        <v>1</v>
      </c>
      <c r="E13" s="298">
        <v>346600000000</v>
      </c>
      <c r="F13" s="296">
        <v>346600000000</v>
      </c>
      <c r="G13" s="88">
        <v>2.5</v>
      </c>
      <c r="H13" s="295" t="s">
        <v>490</v>
      </c>
      <c r="I13" s="1">
        <f t="shared" si="0"/>
        <v>138640000000</v>
      </c>
      <c r="J13" s="88" t="s">
        <v>496</v>
      </c>
      <c r="K13" s="181">
        <v>0</v>
      </c>
      <c r="M13" s="88"/>
      <c r="N13" s="88" t="s">
        <v>493</v>
      </c>
      <c r="O13" s="181">
        <v>1</v>
      </c>
      <c r="P13" s="88"/>
      <c r="R13" s="88"/>
      <c r="S13" s="88" t="s">
        <v>498</v>
      </c>
      <c r="T13" s="181">
        <v>1</v>
      </c>
    </row>
    <row r="14" spans="2:20">
      <c r="B14" s="293"/>
      <c r="C14" s="88" t="s">
        <v>482</v>
      </c>
      <c r="D14" s="181">
        <v>1</v>
      </c>
      <c r="E14" s="297">
        <v>279400000000</v>
      </c>
      <c r="F14" s="296">
        <v>279400000000</v>
      </c>
      <c r="G14" s="88">
        <v>4</v>
      </c>
      <c r="H14" s="295" t="s">
        <v>493</v>
      </c>
      <c r="I14" s="1">
        <f t="shared" si="0"/>
        <v>69850000000</v>
      </c>
      <c r="J14" s="88" t="s">
        <v>498</v>
      </c>
      <c r="K14" s="181">
        <v>0</v>
      </c>
      <c r="M14" s="88"/>
      <c r="N14" s="88" t="s">
        <v>497</v>
      </c>
      <c r="O14" s="181">
        <v>2</v>
      </c>
      <c r="P14" s="88"/>
      <c r="R14" s="88"/>
      <c r="S14" s="88" t="s">
        <v>501</v>
      </c>
      <c r="T14" s="181">
        <v>7</v>
      </c>
    </row>
    <row r="15" spans="2:20">
      <c r="B15" s="293"/>
      <c r="C15" s="88" t="s">
        <v>476</v>
      </c>
      <c r="D15" s="181">
        <v>2</v>
      </c>
      <c r="E15" s="298">
        <v>353600000000</v>
      </c>
      <c r="F15" s="296">
        <v>176800000000</v>
      </c>
      <c r="G15" s="88">
        <v>2.5</v>
      </c>
      <c r="H15" s="295" t="s">
        <v>477</v>
      </c>
      <c r="I15" s="1">
        <f t="shared" si="0"/>
        <v>141440000000</v>
      </c>
      <c r="J15" s="88" t="s">
        <v>501</v>
      </c>
      <c r="K15" s="181">
        <v>0</v>
      </c>
      <c r="M15" s="88"/>
      <c r="N15" s="88" t="s">
        <v>499</v>
      </c>
      <c r="O15" s="181">
        <v>1</v>
      </c>
      <c r="P15" s="88"/>
      <c r="R15" s="88"/>
      <c r="S15" s="88" t="s">
        <v>503</v>
      </c>
      <c r="T15" s="181">
        <v>1</v>
      </c>
    </row>
    <row r="16" spans="2:20">
      <c r="B16" s="293"/>
      <c r="C16" s="88" t="s">
        <v>472</v>
      </c>
      <c r="D16" s="181">
        <v>1</v>
      </c>
      <c r="E16" s="298">
        <v>348000000000</v>
      </c>
      <c r="F16" s="296">
        <v>348000000000</v>
      </c>
      <c r="G16" s="88">
        <v>2.5</v>
      </c>
      <c r="H16" s="295" t="s">
        <v>490</v>
      </c>
      <c r="I16" s="1">
        <f t="shared" si="0"/>
        <v>139200000000</v>
      </c>
      <c r="J16" s="88" t="s">
        <v>503</v>
      </c>
      <c r="K16" s="181">
        <v>0</v>
      </c>
      <c r="L16" s="88"/>
      <c r="M16" s="88"/>
      <c r="N16" s="88"/>
      <c r="O16" s="88"/>
      <c r="P16" s="88"/>
    </row>
    <row r="17" spans="2:24">
      <c r="B17" s="293"/>
      <c r="C17" s="88" t="s">
        <v>476</v>
      </c>
      <c r="D17" s="181">
        <v>1</v>
      </c>
      <c r="E17" s="298">
        <v>371000000000</v>
      </c>
      <c r="F17" s="296">
        <v>371000000000</v>
      </c>
      <c r="G17" s="88">
        <v>2.25</v>
      </c>
      <c r="H17" s="295" t="s">
        <v>477</v>
      </c>
      <c r="I17" s="1">
        <f t="shared" si="0"/>
        <v>164888888888.88889</v>
      </c>
      <c r="J17" s="88" t="s">
        <v>486</v>
      </c>
      <c r="L17" s="292">
        <v>294000000000</v>
      </c>
      <c r="M17" s="88"/>
      <c r="N17" s="88"/>
      <c r="O17" s="88"/>
      <c r="P17" s="88"/>
    </row>
    <row r="18" spans="2:24">
      <c r="B18" s="293"/>
      <c r="C18" s="88" t="s">
        <v>476</v>
      </c>
      <c r="D18" s="181">
        <v>2</v>
      </c>
      <c r="E18" s="298">
        <v>378400000000</v>
      </c>
      <c r="F18" s="296">
        <v>189200000000</v>
      </c>
      <c r="G18" s="88">
        <v>2.25</v>
      </c>
      <c r="H18" s="295" t="s">
        <v>477</v>
      </c>
      <c r="I18" s="1">
        <f t="shared" si="0"/>
        <v>168177777777.77777</v>
      </c>
      <c r="J18" s="88" t="s">
        <v>819</v>
      </c>
      <c r="K18" s="88">
        <f>SUM(K7:K16)</f>
        <v>42</v>
      </c>
      <c r="L18" s="299">
        <f>SUM(L7:L17)</f>
        <v>12862800000000</v>
      </c>
      <c r="M18" s="88"/>
      <c r="N18" s="88"/>
      <c r="O18" s="88"/>
      <c r="P18" s="88"/>
      <c r="Q18" s="47"/>
    </row>
    <row r="19" spans="2:24">
      <c r="B19" s="293"/>
      <c r="C19" s="88" t="s">
        <v>561</v>
      </c>
      <c r="D19" s="181">
        <v>6</v>
      </c>
      <c r="E19" s="294">
        <v>2328600000000</v>
      </c>
      <c r="F19" s="296">
        <v>388100000000</v>
      </c>
      <c r="G19" s="88">
        <v>3</v>
      </c>
      <c r="H19" s="295" t="s">
        <v>820</v>
      </c>
      <c r="I19" s="1">
        <f t="shared" si="0"/>
        <v>776200000000</v>
      </c>
      <c r="N19" s="181"/>
      <c r="O19" s="88"/>
      <c r="P19" s="88"/>
      <c r="Q19" s="181"/>
      <c r="V19" s="300"/>
      <c r="W19" s="300"/>
      <c r="X19" s="300"/>
    </row>
    <row r="20" spans="2:24">
      <c r="B20" s="293"/>
      <c r="C20" s="88" t="s">
        <v>486</v>
      </c>
      <c r="D20" s="88"/>
      <c r="E20" s="301">
        <v>294000000000</v>
      </c>
      <c r="F20" s="88"/>
      <c r="G20" s="88">
        <f>1+(10/12)</f>
        <v>1.8333333333333335</v>
      </c>
      <c r="H20" s="295" t="s">
        <v>499</v>
      </c>
      <c r="I20" s="1">
        <f t="shared" si="0"/>
        <v>160363636363.63635</v>
      </c>
      <c r="J20" s="88"/>
      <c r="K20" s="88"/>
      <c r="L20" s="88"/>
      <c r="M20" s="88"/>
      <c r="N20" s="88"/>
      <c r="O20" s="88"/>
      <c r="P20" s="88"/>
    </row>
    <row r="21" spans="2:24">
      <c r="B21" s="302"/>
      <c r="C21" s="303" t="s">
        <v>472</v>
      </c>
      <c r="D21" s="304">
        <v>2</v>
      </c>
      <c r="E21" s="305">
        <v>732200000000</v>
      </c>
      <c r="F21" s="306">
        <v>366100000000</v>
      </c>
      <c r="G21" s="303">
        <f>2+8/12</f>
        <v>2.6666666666666665</v>
      </c>
      <c r="H21" s="307" t="s">
        <v>821</v>
      </c>
      <c r="I21" s="1">
        <f t="shared" si="0"/>
        <v>274575000000</v>
      </c>
      <c r="J21" s="88"/>
      <c r="K21" s="88"/>
      <c r="L21" s="88"/>
      <c r="M21" s="88"/>
      <c r="N21" s="88"/>
      <c r="O21" s="88"/>
      <c r="P21" s="88"/>
    </row>
    <row r="22" spans="2:24">
      <c r="B22" s="88"/>
      <c r="C22" s="88"/>
      <c r="D22" s="88"/>
      <c r="E22" s="88"/>
      <c r="F22" s="88"/>
      <c r="G22" s="88"/>
      <c r="H22" s="88"/>
      <c r="I22" s="88"/>
      <c r="J22" s="88"/>
      <c r="K22" s="88"/>
      <c r="L22" s="88"/>
      <c r="M22" s="88"/>
      <c r="N22" s="88"/>
      <c r="O22" s="88"/>
      <c r="P22" s="88"/>
    </row>
    <row r="23" spans="2:24">
      <c r="B23" s="88"/>
      <c r="C23" s="88"/>
      <c r="D23" s="88"/>
      <c r="E23" s="88"/>
      <c r="F23" s="88"/>
      <c r="G23" s="88"/>
      <c r="H23" s="88"/>
      <c r="I23" s="88"/>
      <c r="J23" s="88"/>
      <c r="K23" s="88"/>
      <c r="L23" s="88"/>
      <c r="M23" s="88"/>
      <c r="N23" s="88"/>
      <c r="O23" s="88"/>
      <c r="P23" s="88"/>
    </row>
    <row r="24" spans="2:24">
      <c r="B24" s="88"/>
      <c r="C24" s="88"/>
      <c r="D24" s="88"/>
      <c r="E24" s="88"/>
      <c r="F24" s="88"/>
      <c r="G24" s="88"/>
      <c r="H24" s="88"/>
      <c r="I24" s="88"/>
      <c r="J24" s="88"/>
      <c r="K24" s="88"/>
      <c r="L24" s="88"/>
      <c r="M24" s="88"/>
      <c r="N24" s="88"/>
      <c r="O24" s="88"/>
      <c r="P24" s="88"/>
    </row>
    <row r="25" spans="2:24">
      <c r="B25" s="289" t="s">
        <v>822</v>
      </c>
      <c r="C25" s="290" t="s">
        <v>424</v>
      </c>
      <c r="D25" s="290" t="s">
        <v>809</v>
      </c>
      <c r="E25" s="290" t="s">
        <v>703</v>
      </c>
      <c r="F25" s="290" t="s">
        <v>810</v>
      </c>
      <c r="G25" s="290" t="s">
        <v>811</v>
      </c>
      <c r="H25" s="291" t="s">
        <v>812</v>
      </c>
      <c r="J25" s="88" t="s">
        <v>813</v>
      </c>
      <c r="K25" s="292">
        <v>8489100000000</v>
      </c>
      <c r="M25" s="88"/>
      <c r="N25" s="88"/>
      <c r="O25" s="88"/>
      <c r="P25" s="88"/>
    </row>
    <row r="26" spans="2:24">
      <c r="B26" s="293"/>
      <c r="C26" s="88" t="s">
        <v>489</v>
      </c>
      <c r="D26" s="181">
        <v>2</v>
      </c>
      <c r="E26" s="297">
        <v>839100000000</v>
      </c>
      <c r="F26" s="296">
        <v>419550000000</v>
      </c>
      <c r="G26" s="88" t="s">
        <v>823</v>
      </c>
      <c r="H26" s="295" t="s">
        <v>502</v>
      </c>
      <c r="I26" s="1">
        <f>E26/6</f>
        <v>139850000000</v>
      </c>
      <c r="J26" s="216" t="s">
        <v>424</v>
      </c>
      <c r="K26" s="216" t="s">
        <v>814</v>
      </c>
      <c r="L26" s="216" t="s">
        <v>815</v>
      </c>
      <c r="M26" s="88"/>
      <c r="N26" s="88"/>
      <c r="O26" s="88"/>
      <c r="P26" s="88"/>
    </row>
    <row r="27" spans="2:24">
      <c r="B27" s="293"/>
      <c r="C27" s="88" t="s">
        <v>492</v>
      </c>
      <c r="D27" s="181">
        <v>2</v>
      </c>
      <c r="E27" s="308">
        <v>333300000000</v>
      </c>
      <c r="F27" s="296">
        <v>166650000000</v>
      </c>
      <c r="G27" s="88" t="s">
        <v>824</v>
      </c>
      <c r="H27" s="295" t="s">
        <v>497</v>
      </c>
      <c r="I27" s="1">
        <f>I43/3</f>
        <v>190894545454.54544</v>
      </c>
      <c r="J27" s="88" t="s">
        <v>476</v>
      </c>
      <c r="K27" s="181">
        <v>4</v>
      </c>
      <c r="L27" s="47">
        <f>E32</f>
        <v>719600000000</v>
      </c>
      <c r="M27" s="88"/>
      <c r="N27" s="88" t="s">
        <v>502</v>
      </c>
      <c r="O27" s="181">
        <v>2</v>
      </c>
      <c r="P27" s="88"/>
    </row>
    <row r="28" spans="2:24">
      <c r="B28" s="293"/>
      <c r="C28" s="88" t="s">
        <v>472</v>
      </c>
      <c r="D28" s="181">
        <v>2</v>
      </c>
      <c r="E28" s="308">
        <v>713500000000</v>
      </c>
      <c r="F28" s="296">
        <v>356750000000</v>
      </c>
      <c r="G28" s="88" t="s">
        <v>825</v>
      </c>
      <c r="H28" s="295" t="s">
        <v>477</v>
      </c>
      <c r="I28" s="1" t="s">
        <v>826</v>
      </c>
      <c r="J28" s="88" t="s">
        <v>472</v>
      </c>
      <c r="K28" s="181">
        <v>10</v>
      </c>
      <c r="L28" s="41">
        <f>E33+E28+E35</f>
        <v>3390700000000</v>
      </c>
      <c r="M28" s="88"/>
      <c r="N28" s="88" t="s">
        <v>497</v>
      </c>
      <c r="O28" s="181">
        <v>3</v>
      </c>
      <c r="P28" s="88"/>
    </row>
    <row r="29" spans="2:24">
      <c r="B29" s="293"/>
      <c r="C29" s="88" t="s">
        <v>561</v>
      </c>
      <c r="D29" s="181">
        <v>6</v>
      </c>
      <c r="E29" s="309">
        <v>1693200000000</v>
      </c>
      <c r="F29" s="296">
        <v>282200000000</v>
      </c>
      <c r="G29" s="88" t="s">
        <v>827</v>
      </c>
      <c r="H29" s="295" t="s">
        <v>480</v>
      </c>
      <c r="I29" s="310">
        <f>E29/(4+3/12)</f>
        <v>398400000000</v>
      </c>
      <c r="J29" s="88" t="s">
        <v>561</v>
      </c>
      <c r="K29" s="181">
        <v>6</v>
      </c>
      <c r="L29" s="310">
        <f>E29</f>
        <v>1693200000000</v>
      </c>
      <c r="M29" s="88"/>
      <c r="N29" s="88" t="s">
        <v>477</v>
      </c>
      <c r="O29" s="181">
        <v>2</v>
      </c>
      <c r="P29" s="88"/>
    </row>
    <row r="30" spans="2:24">
      <c r="B30" s="293"/>
      <c r="C30" s="88" t="s">
        <v>496</v>
      </c>
      <c r="D30" s="181">
        <v>1</v>
      </c>
      <c r="E30" s="308">
        <v>545400000000</v>
      </c>
      <c r="F30" s="296">
        <v>545400000000</v>
      </c>
      <c r="G30" s="88" t="s">
        <v>824</v>
      </c>
      <c r="H30" s="295" t="s">
        <v>497</v>
      </c>
      <c r="I30" s="310">
        <f>E30/3</f>
        <v>181800000000</v>
      </c>
      <c r="J30" s="88" t="s">
        <v>482</v>
      </c>
      <c r="K30" s="181">
        <v>0</v>
      </c>
      <c r="M30" s="88"/>
      <c r="N30" s="88" t="s">
        <v>480</v>
      </c>
      <c r="O30" s="181">
        <v>1</v>
      </c>
      <c r="P30" s="88"/>
    </row>
    <row r="31" spans="2:24">
      <c r="B31" s="293"/>
      <c r="C31" s="88" t="s">
        <v>498</v>
      </c>
      <c r="D31" s="181">
        <v>1</v>
      </c>
      <c r="E31" s="294">
        <v>460200000000</v>
      </c>
      <c r="F31" s="296">
        <v>460200000000</v>
      </c>
      <c r="G31" s="88" t="s">
        <v>828</v>
      </c>
      <c r="H31" s="295" t="s">
        <v>502</v>
      </c>
      <c r="I31" s="1">
        <f>E31/(4+4/12)</f>
        <v>106200000000</v>
      </c>
      <c r="J31" s="88" t="s">
        <v>489</v>
      </c>
      <c r="K31" s="181">
        <v>2</v>
      </c>
      <c r="L31" s="41">
        <f t="shared" ref="L31:L32" si="1">E26</f>
        <v>839100000000</v>
      </c>
      <c r="M31" s="88"/>
      <c r="N31" s="88" t="s">
        <v>504</v>
      </c>
      <c r="O31" s="181">
        <v>2</v>
      </c>
      <c r="P31" s="88"/>
    </row>
    <row r="32" spans="2:24">
      <c r="B32" s="293"/>
      <c r="C32" s="88" t="s">
        <v>476</v>
      </c>
      <c r="D32" s="181">
        <v>4</v>
      </c>
      <c r="E32" s="308">
        <v>719600000000</v>
      </c>
      <c r="F32" s="296">
        <v>179900000000</v>
      </c>
      <c r="G32" s="88" t="s">
        <v>829</v>
      </c>
      <c r="H32" s="295" t="s">
        <v>504</v>
      </c>
      <c r="I32" s="310">
        <f>E32/(2+10/12)</f>
        <v>253976470588.23529</v>
      </c>
      <c r="J32" s="88" t="s">
        <v>492</v>
      </c>
      <c r="K32" s="181">
        <v>2</v>
      </c>
      <c r="L32" s="310">
        <f t="shared" si="1"/>
        <v>333300000000</v>
      </c>
      <c r="M32" s="88"/>
      <c r="N32" s="88" t="s">
        <v>830</v>
      </c>
      <c r="O32" s="181">
        <v>1</v>
      </c>
      <c r="P32" s="88"/>
    </row>
    <row r="33" spans="2:16">
      <c r="B33" s="293"/>
      <c r="C33" s="88" t="s">
        <v>472</v>
      </c>
      <c r="D33" s="181">
        <v>4</v>
      </c>
      <c r="E33" s="294">
        <v>1438100000000</v>
      </c>
      <c r="F33" s="296">
        <v>359525000000</v>
      </c>
      <c r="G33" s="88" t="s">
        <v>828</v>
      </c>
      <c r="H33" s="295" t="s">
        <v>504</v>
      </c>
      <c r="I33" s="1">
        <f>E33/(4+4/12)</f>
        <v>331869230769.23077</v>
      </c>
      <c r="J33" s="88" t="s">
        <v>496</v>
      </c>
      <c r="K33" s="181">
        <v>1</v>
      </c>
      <c r="L33" s="310">
        <f t="shared" ref="L33:L34" si="2">E30</f>
        <v>545400000000</v>
      </c>
      <c r="M33" s="88"/>
      <c r="N33" s="88"/>
      <c r="O33" s="88"/>
      <c r="P33" s="88"/>
    </row>
    <row r="34" spans="2:16">
      <c r="B34" s="293"/>
      <c r="C34" s="88" t="s">
        <v>501</v>
      </c>
      <c r="D34" s="181">
        <v>1</v>
      </c>
      <c r="E34" s="301">
        <v>176400000000</v>
      </c>
      <c r="F34" s="296">
        <v>176400000000</v>
      </c>
      <c r="G34" s="88" t="s">
        <v>831</v>
      </c>
      <c r="H34" s="295" t="s">
        <v>830</v>
      </c>
      <c r="I34" s="1">
        <f>E34/(2+9/12)</f>
        <v>64145454545.454544</v>
      </c>
      <c r="J34" s="88" t="s">
        <v>498</v>
      </c>
      <c r="K34" s="181">
        <v>1</v>
      </c>
      <c r="L34" s="41">
        <f t="shared" si="2"/>
        <v>460200000000</v>
      </c>
      <c r="M34" s="88"/>
      <c r="N34" s="88"/>
      <c r="O34" s="88"/>
      <c r="P34" s="88"/>
    </row>
    <row r="35" spans="2:16">
      <c r="B35" s="293"/>
      <c r="C35" s="88" t="s">
        <v>472</v>
      </c>
      <c r="D35" s="181">
        <v>4</v>
      </c>
      <c r="E35" s="298">
        <v>1239100000000</v>
      </c>
      <c r="F35" s="296">
        <v>309775000000</v>
      </c>
      <c r="G35" s="88" t="s">
        <v>832</v>
      </c>
      <c r="H35" s="295" t="s">
        <v>497</v>
      </c>
      <c r="I35" s="1">
        <f>E35/(3+4/12)</f>
        <v>371730000000</v>
      </c>
      <c r="J35" s="88" t="s">
        <v>501</v>
      </c>
      <c r="K35" s="181">
        <v>3</v>
      </c>
      <c r="L35" s="41">
        <f>E34+E36</f>
        <v>507600000000</v>
      </c>
      <c r="M35" s="88"/>
      <c r="N35" s="88"/>
      <c r="O35" s="88"/>
      <c r="P35" s="88"/>
    </row>
    <row r="36" spans="2:16">
      <c r="B36" s="302"/>
      <c r="C36" s="303" t="s">
        <v>833</v>
      </c>
      <c r="D36" s="304">
        <v>2</v>
      </c>
      <c r="E36" s="311">
        <v>331200000000</v>
      </c>
      <c r="F36" s="306">
        <v>165600000000</v>
      </c>
      <c r="G36" s="303" t="s">
        <v>834</v>
      </c>
      <c r="H36" s="312" t="s">
        <v>477</v>
      </c>
      <c r="I36" s="310">
        <f>E36/(3+7/12)</f>
        <v>92427906976.744186</v>
      </c>
      <c r="J36" s="88" t="s">
        <v>503</v>
      </c>
      <c r="K36" s="181">
        <v>0</v>
      </c>
      <c r="M36" s="88"/>
      <c r="N36" s="88"/>
      <c r="O36" s="88"/>
      <c r="P36" s="88"/>
    </row>
    <row r="37" spans="2:16">
      <c r="B37" s="88"/>
      <c r="C37" s="88"/>
      <c r="D37" s="88"/>
      <c r="E37" s="88"/>
      <c r="F37" s="88"/>
      <c r="G37" s="88"/>
      <c r="H37" s="88"/>
      <c r="I37" s="88"/>
      <c r="J37" s="88" t="s">
        <v>819</v>
      </c>
      <c r="K37" s="88">
        <f t="shared" ref="K37:L37" si="3">SUM(K27:K36)</f>
        <v>29</v>
      </c>
      <c r="L37" s="208">
        <f t="shared" si="3"/>
        <v>8489100000000</v>
      </c>
      <c r="M37" s="88"/>
      <c r="N37" s="88"/>
      <c r="O37" s="88"/>
      <c r="P37" s="88"/>
    </row>
    <row r="38" spans="2:16">
      <c r="B38" s="88"/>
      <c r="C38" s="88"/>
      <c r="D38" s="88"/>
      <c r="E38" s="88"/>
      <c r="F38" s="88"/>
      <c r="G38" s="88"/>
      <c r="H38" s="88"/>
      <c r="I38" s="88"/>
      <c r="M38" s="88"/>
      <c r="N38" s="88"/>
      <c r="O38" s="88"/>
      <c r="P38" s="88"/>
    </row>
    <row r="39" spans="2:16">
      <c r="B39" s="88"/>
      <c r="C39" s="88"/>
      <c r="D39" s="88"/>
      <c r="E39" s="88"/>
      <c r="F39" s="88"/>
      <c r="G39" s="88"/>
      <c r="H39" s="88"/>
      <c r="I39" s="88"/>
      <c r="J39" s="88"/>
      <c r="K39" s="88"/>
      <c r="L39" s="88"/>
      <c r="M39" s="88"/>
      <c r="N39" s="88"/>
      <c r="O39" s="88"/>
      <c r="P39" s="88"/>
    </row>
    <row r="40" spans="2:16">
      <c r="M40" s="88"/>
      <c r="N40" s="88"/>
      <c r="O40" s="88"/>
      <c r="P40" s="88"/>
    </row>
    <row r="41" spans="2:16">
      <c r="B41" s="289" t="s">
        <v>835</v>
      </c>
      <c r="C41" s="290" t="s">
        <v>424</v>
      </c>
      <c r="D41" s="290" t="s">
        <v>809</v>
      </c>
      <c r="E41" s="290" t="s">
        <v>703</v>
      </c>
      <c r="F41" s="290" t="s">
        <v>810</v>
      </c>
      <c r="G41" s="290" t="s">
        <v>811</v>
      </c>
      <c r="H41" s="291" t="s">
        <v>812</v>
      </c>
      <c r="J41" s="88" t="s">
        <v>813</v>
      </c>
      <c r="K41" s="292">
        <v>4215600000000</v>
      </c>
      <c r="M41" s="88"/>
      <c r="N41" s="88"/>
      <c r="O41" s="88"/>
      <c r="P41" s="88"/>
    </row>
    <row r="42" spans="2:16">
      <c r="B42" s="293"/>
      <c r="C42" s="88" t="s">
        <v>503</v>
      </c>
      <c r="D42" s="313">
        <v>1</v>
      </c>
      <c r="E42" s="297">
        <v>1102000000000</v>
      </c>
      <c r="F42" s="181">
        <v>1102000000000</v>
      </c>
      <c r="G42" s="208" t="s">
        <v>836</v>
      </c>
      <c r="H42" s="295" t="s">
        <v>502</v>
      </c>
      <c r="I42" s="1">
        <f>F42/8</f>
        <v>137750000000</v>
      </c>
      <c r="J42" s="216" t="s">
        <v>424</v>
      </c>
      <c r="K42" s="216" t="s">
        <v>814</v>
      </c>
      <c r="L42" s="216" t="s">
        <v>815</v>
      </c>
      <c r="M42" s="88"/>
      <c r="N42" s="88" t="s">
        <v>502</v>
      </c>
      <c r="O42" s="181">
        <v>2</v>
      </c>
      <c r="P42" s="88"/>
    </row>
    <row r="43" spans="2:16">
      <c r="B43" s="293"/>
      <c r="C43" s="88" t="s">
        <v>833</v>
      </c>
      <c r="D43" s="313">
        <v>4</v>
      </c>
      <c r="E43" s="294">
        <v>656200000000</v>
      </c>
      <c r="F43" s="296">
        <v>164050000000</v>
      </c>
      <c r="G43" s="208" t="s">
        <v>837</v>
      </c>
      <c r="H43" s="295" t="s">
        <v>477</v>
      </c>
      <c r="I43" s="1">
        <f>E43*D43/(4+7/12)</f>
        <v>572683636363.63635</v>
      </c>
      <c r="J43" s="88" t="s">
        <v>476</v>
      </c>
      <c r="K43" s="181">
        <v>0</v>
      </c>
      <c r="M43" s="88"/>
      <c r="N43" s="88" t="s">
        <v>477</v>
      </c>
      <c r="O43" s="181">
        <v>4</v>
      </c>
      <c r="P43" s="88"/>
    </row>
    <row r="44" spans="2:16">
      <c r="B44" s="293"/>
      <c r="C44" s="88" t="s">
        <v>489</v>
      </c>
      <c r="D44" s="181">
        <v>2</v>
      </c>
      <c r="E44" s="314">
        <v>791700000000</v>
      </c>
      <c r="F44" s="296">
        <v>395850000000</v>
      </c>
      <c r="G44" s="208" t="s">
        <v>825</v>
      </c>
      <c r="H44" s="295" t="s">
        <v>502</v>
      </c>
      <c r="I44" s="310">
        <f>F44/(3+1/12)</f>
        <v>128383783783.78378</v>
      </c>
      <c r="J44" s="88" t="s">
        <v>472</v>
      </c>
      <c r="K44" s="181">
        <v>5</v>
      </c>
      <c r="L44" s="41">
        <f>E46+E47+E48+E45</f>
        <v>1665700000000</v>
      </c>
      <c r="M44" s="88"/>
      <c r="N44" s="88" t="s">
        <v>497</v>
      </c>
      <c r="O44" s="181">
        <v>1</v>
      </c>
      <c r="P44" s="88"/>
    </row>
    <row r="45" spans="2:16">
      <c r="B45" s="293"/>
      <c r="C45" s="88" t="s">
        <v>472</v>
      </c>
      <c r="D45" s="181">
        <v>1</v>
      </c>
      <c r="E45" s="298">
        <v>332200000000</v>
      </c>
      <c r="F45" s="296">
        <v>332200000000</v>
      </c>
      <c r="G45" s="208" t="s">
        <v>834</v>
      </c>
      <c r="H45" s="295" t="s">
        <v>497</v>
      </c>
      <c r="I45" s="310">
        <f>F45/3.58*D45</f>
        <v>92793296089.385468</v>
      </c>
      <c r="J45" s="88" t="s">
        <v>561</v>
      </c>
      <c r="K45" s="181">
        <v>0</v>
      </c>
      <c r="M45" s="88"/>
      <c r="N45" s="88"/>
      <c r="O45" s="88"/>
      <c r="P45" s="88"/>
    </row>
    <row r="46" spans="2:16">
      <c r="B46" s="293"/>
      <c r="C46" s="88" t="s">
        <v>472</v>
      </c>
      <c r="D46" s="181">
        <v>1</v>
      </c>
      <c r="E46" s="298">
        <v>339600000000</v>
      </c>
      <c r="F46" s="296">
        <v>339600000000</v>
      </c>
      <c r="G46" s="208" t="s">
        <v>838</v>
      </c>
      <c r="H46" s="295" t="s">
        <v>477</v>
      </c>
      <c r="I46" s="310">
        <f>F46/4.42</f>
        <v>76832579185.52037</v>
      </c>
      <c r="J46" s="88" t="s">
        <v>482</v>
      </c>
      <c r="K46" s="181">
        <v>0</v>
      </c>
      <c r="M46" s="88"/>
      <c r="N46" s="88"/>
      <c r="O46" s="88"/>
      <c r="P46" s="88"/>
    </row>
    <row r="47" spans="2:16">
      <c r="B47" s="293"/>
      <c r="C47" s="88" t="s">
        <v>472</v>
      </c>
      <c r="D47" s="181">
        <v>2</v>
      </c>
      <c r="E47" s="298">
        <v>679400000000</v>
      </c>
      <c r="F47" s="296">
        <v>339700000000</v>
      </c>
      <c r="G47" s="208" t="s">
        <v>827</v>
      </c>
      <c r="H47" s="295" t="s">
        <v>477</v>
      </c>
      <c r="I47" s="1">
        <f>E47/4.25</f>
        <v>159858823529.41177</v>
      </c>
      <c r="J47" s="88" t="s">
        <v>489</v>
      </c>
      <c r="K47" s="181">
        <v>2</v>
      </c>
      <c r="L47" s="41">
        <f>E44</f>
        <v>791700000000</v>
      </c>
      <c r="M47" s="88"/>
      <c r="N47" s="88"/>
      <c r="O47" s="88"/>
      <c r="P47" s="88"/>
    </row>
    <row r="48" spans="2:16">
      <c r="B48" s="302"/>
      <c r="C48" s="303" t="s">
        <v>472</v>
      </c>
      <c r="D48" s="304">
        <v>1</v>
      </c>
      <c r="E48" s="315">
        <v>314500000000</v>
      </c>
      <c r="F48" s="306">
        <v>314500000000</v>
      </c>
      <c r="G48" s="316" t="s">
        <v>839</v>
      </c>
      <c r="H48" s="312" t="s">
        <v>477</v>
      </c>
      <c r="I48" s="1">
        <f>E48/4.17</f>
        <v>75419664268.585129</v>
      </c>
      <c r="J48" s="88" t="s">
        <v>492</v>
      </c>
      <c r="K48" s="181">
        <v>0</v>
      </c>
      <c r="M48" s="88"/>
      <c r="N48" s="88"/>
      <c r="O48" s="88"/>
      <c r="P48" s="88"/>
    </row>
    <row r="49" spans="2:16">
      <c r="B49" s="88"/>
      <c r="C49" s="88"/>
      <c r="D49" s="88"/>
      <c r="E49" s="88"/>
      <c r="F49" s="88"/>
      <c r="G49" s="88"/>
      <c r="H49" s="88"/>
      <c r="I49" s="88" t="s">
        <v>840</v>
      </c>
      <c r="J49" s="88" t="s">
        <v>496</v>
      </c>
      <c r="K49" s="181">
        <v>0</v>
      </c>
      <c r="M49" s="88"/>
      <c r="N49" s="88"/>
      <c r="O49" s="88"/>
      <c r="P49" s="88"/>
    </row>
    <row r="50" spans="2:16">
      <c r="B50" s="88"/>
      <c r="C50" s="88"/>
      <c r="D50" s="88"/>
      <c r="E50" s="88"/>
      <c r="F50" s="88"/>
      <c r="G50" s="88"/>
      <c r="H50" s="88"/>
      <c r="I50" s="88"/>
      <c r="J50" s="88" t="s">
        <v>498</v>
      </c>
      <c r="K50" s="181">
        <v>0</v>
      </c>
      <c r="M50" s="88"/>
      <c r="N50" s="88"/>
      <c r="O50" s="88"/>
      <c r="P50" s="88"/>
    </row>
    <row r="51" spans="2:16">
      <c r="B51" s="88"/>
      <c r="C51" s="88"/>
      <c r="D51" s="88"/>
      <c r="E51" s="88">
        <v>26</v>
      </c>
      <c r="F51" s="88">
        <v>27</v>
      </c>
      <c r="H51" s="88"/>
      <c r="I51" s="88"/>
      <c r="J51" s="88" t="s">
        <v>501</v>
      </c>
      <c r="K51" s="181">
        <v>4</v>
      </c>
      <c r="L51" s="41">
        <f>E43</f>
        <v>656200000000</v>
      </c>
      <c r="M51" s="88"/>
      <c r="N51" s="88"/>
      <c r="O51" s="88"/>
      <c r="P51" s="88"/>
    </row>
    <row r="52" spans="2:16">
      <c r="B52" s="88"/>
      <c r="C52" s="88"/>
      <c r="D52" s="88"/>
      <c r="E52" s="88">
        <f>SUM(I6:I48)</f>
        <v>7643838038907.1816</v>
      </c>
      <c r="F52" s="317">
        <f>SUM(I5:I48)-I44</f>
        <v>7515454255123.3975</v>
      </c>
      <c r="G52" s="88"/>
      <c r="H52" s="88"/>
      <c r="I52" s="88"/>
      <c r="J52" s="88" t="s">
        <v>503</v>
      </c>
      <c r="K52" s="181">
        <v>1</v>
      </c>
      <c r="L52" s="299">
        <f>E42</f>
        <v>1102000000000</v>
      </c>
      <c r="M52" s="88"/>
      <c r="N52" s="88"/>
      <c r="O52" s="88"/>
      <c r="P52" s="88"/>
    </row>
    <row r="53" spans="2:16">
      <c r="B53" s="88"/>
      <c r="C53" s="88"/>
      <c r="D53" s="88"/>
      <c r="E53" s="88"/>
      <c r="F53" s="88"/>
      <c r="G53" s="88"/>
      <c r="H53" s="88"/>
      <c r="I53" s="88"/>
      <c r="J53" s="88" t="s">
        <v>819</v>
      </c>
      <c r="K53" s="88">
        <f t="shared" ref="K53:L53" si="4">SUM(K43:K52)</f>
        <v>12</v>
      </c>
      <c r="L53" s="88">
        <f t="shared" si="4"/>
        <v>4215600000000</v>
      </c>
      <c r="M53" s="88"/>
      <c r="N53" s="88"/>
      <c r="O53" s="88"/>
      <c r="P53" s="88"/>
    </row>
    <row r="54" spans="2:16">
      <c r="B54" s="88"/>
      <c r="C54" s="88"/>
      <c r="D54" s="88"/>
      <c r="E54" s="88"/>
      <c r="F54" s="88"/>
      <c r="G54" s="88"/>
      <c r="H54" s="88"/>
      <c r="I54" s="88"/>
      <c r="J54" s="88"/>
      <c r="M54" s="88"/>
      <c r="N54" s="88"/>
      <c r="O54" s="88"/>
      <c r="P54" s="88"/>
    </row>
    <row r="55" spans="2:16">
      <c r="B55" s="88"/>
      <c r="C55" s="88"/>
      <c r="D55" s="88"/>
      <c r="E55" s="88"/>
      <c r="F55" s="88"/>
      <c r="G55" s="88"/>
      <c r="H55" s="88"/>
      <c r="I55" s="88"/>
      <c r="J55" s="88"/>
      <c r="M55" s="88"/>
      <c r="N55" s="88"/>
      <c r="O55" s="88"/>
      <c r="P55" s="88"/>
    </row>
    <row r="56" spans="2:16">
      <c r="B56" s="88"/>
      <c r="C56" s="88"/>
      <c r="D56" s="88"/>
      <c r="E56" s="88"/>
      <c r="F56" s="88"/>
      <c r="G56" s="88"/>
      <c r="H56" s="88"/>
      <c r="M56" s="88"/>
      <c r="N56" s="88"/>
      <c r="O56" s="88"/>
      <c r="P56" s="88"/>
    </row>
    <row r="57" spans="2:16">
      <c r="B57" s="88"/>
      <c r="C57" s="88"/>
      <c r="D57" s="88"/>
      <c r="E57" s="88"/>
      <c r="F57" s="88"/>
      <c r="G57" s="88"/>
      <c r="H57" s="88"/>
      <c r="M57" s="88"/>
      <c r="N57" s="88"/>
      <c r="O57" s="88"/>
      <c r="P57" s="88"/>
    </row>
    <row r="58" spans="2:16">
      <c r="B58" s="88"/>
      <c r="C58" s="88"/>
      <c r="D58" s="88"/>
      <c r="E58" s="88"/>
      <c r="F58" s="88"/>
      <c r="G58" s="88"/>
      <c r="H58" s="88"/>
      <c r="M58" s="88"/>
      <c r="N58" s="88"/>
      <c r="O58" s="88"/>
      <c r="P58" s="88"/>
    </row>
    <row r="59" spans="2:16">
      <c r="B59" s="88" t="s">
        <v>841</v>
      </c>
      <c r="C59" s="88"/>
      <c r="D59" s="88"/>
      <c r="E59" s="88"/>
      <c r="F59" s="88"/>
      <c r="G59" s="88" t="s">
        <v>842</v>
      </c>
      <c r="H59" s="88"/>
      <c r="M59" s="88"/>
      <c r="N59" s="88"/>
      <c r="O59" s="88"/>
      <c r="P59" s="88"/>
    </row>
    <row r="60" spans="2:16">
      <c r="B60" s="88" t="s">
        <v>472</v>
      </c>
      <c r="C60" s="318">
        <v>350900000000</v>
      </c>
      <c r="D60" s="88"/>
      <c r="E60" s="88"/>
      <c r="F60" s="88"/>
      <c r="G60" s="88" t="s">
        <v>472</v>
      </c>
      <c r="H60" s="349">
        <v>1003200000000</v>
      </c>
      <c r="I60" s="350"/>
      <c r="M60" s="88"/>
      <c r="N60" s="88"/>
      <c r="O60" s="88"/>
      <c r="P60" s="88"/>
    </row>
    <row r="61" spans="2:16">
      <c r="B61" s="88"/>
      <c r="C61" s="318">
        <v>710300000000</v>
      </c>
      <c r="D61" s="88"/>
      <c r="E61" s="88"/>
      <c r="F61" s="88"/>
      <c r="G61" s="88"/>
      <c r="H61" s="318">
        <v>492400000000</v>
      </c>
      <c r="M61" s="88"/>
      <c r="N61" s="88"/>
      <c r="O61" s="88"/>
      <c r="P61" s="88"/>
    </row>
    <row r="62" spans="2:16">
      <c r="B62" s="88"/>
      <c r="C62" s="318">
        <v>354200000000</v>
      </c>
      <c r="D62" s="88"/>
      <c r="E62" s="88"/>
      <c r="F62" s="88"/>
      <c r="G62" s="88"/>
      <c r="H62" s="349">
        <v>486700000000</v>
      </c>
      <c r="I62" s="350"/>
      <c r="M62" s="88"/>
      <c r="N62" s="88"/>
      <c r="O62" s="88"/>
      <c r="P62" s="88"/>
    </row>
    <row r="63" spans="2:16">
      <c r="B63" s="88"/>
      <c r="C63" s="318">
        <v>1233400000000</v>
      </c>
      <c r="D63" s="88"/>
      <c r="E63" s="88"/>
      <c r="F63" s="88"/>
      <c r="G63" s="88"/>
      <c r="H63" s="318">
        <v>227800000000</v>
      </c>
      <c r="M63" s="88"/>
    </row>
    <row r="64" spans="2:16">
      <c r="B64" s="88"/>
      <c r="C64" s="318">
        <v>616700000000</v>
      </c>
      <c r="D64" s="88"/>
      <c r="E64" s="88"/>
      <c r="F64" s="88"/>
      <c r="G64" s="88"/>
      <c r="H64" s="349">
        <v>216900000000</v>
      </c>
      <c r="I64" s="350"/>
      <c r="J64" s="41">
        <f>SUM(H60:I64)</f>
        <v>2427000000000</v>
      </c>
    </row>
    <row r="65" spans="2:16">
      <c r="B65" s="88"/>
      <c r="C65" s="318">
        <v>595900000000</v>
      </c>
      <c r="D65" s="88"/>
      <c r="E65" s="88"/>
      <c r="F65" s="88"/>
      <c r="G65" s="88" t="s">
        <v>843</v>
      </c>
      <c r="H65" s="318">
        <v>486300000000</v>
      </c>
    </row>
    <row r="66" spans="2:16">
      <c r="B66" s="88"/>
      <c r="C66" s="318">
        <v>2036800000000</v>
      </c>
      <c r="D66" s="88"/>
      <c r="E66" s="88"/>
      <c r="F66" s="88"/>
      <c r="G66" s="88"/>
      <c r="H66" s="88"/>
      <c r="I66" s="88"/>
      <c r="J66" s="88"/>
    </row>
    <row r="67" spans="2:16">
      <c r="B67" s="88"/>
      <c r="C67" s="318">
        <v>311200000000</v>
      </c>
      <c r="D67" s="88"/>
      <c r="E67" s="88"/>
      <c r="F67" s="88"/>
      <c r="G67" s="88"/>
      <c r="H67" s="88"/>
      <c r="I67" s="88"/>
      <c r="J67" s="88"/>
      <c r="K67" s="88"/>
      <c r="L67" s="88"/>
    </row>
    <row r="68" spans="2:16">
      <c r="B68" s="88"/>
      <c r="C68" s="318">
        <v>649500000000</v>
      </c>
      <c r="D68" s="88"/>
      <c r="E68" s="88"/>
      <c r="F68" s="88"/>
      <c r="G68" s="88"/>
      <c r="H68" s="88"/>
      <c r="I68" s="88"/>
      <c r="J68" s="88"/>
      <c r="K68" s="88"/>
      <c r="L68" s="88"/>
    </row>
    <row r="69" spans="2:16">
      <c r="B69" s="88"/>
      <c r="C69" s="318">
        <v>585100000000</v>
      </c>
      <c r="D69" s="88"/>
      <c r="E69" s="88"/>
      <c r="I69" s="88"/>
    </row>
    <row r="70" spans="2:16">
      <c r="B70" s="88"/>
      <c r="C70" s="318">
        <v>1073400000000</v>
      </c>
      <c r="D70" s="88"/>
      <c r="E70" s="88"/>
      <c r="I70" s="88"/>
    </row>
    <row r="71" spans="2:16">
      <c r="B71" s="88"/>
      <c r="C71" s="318">
        <v>863500000000</v>
      </c>
      <c r="D71" s="88"/>
      <c r="E71" s="88"/>
      <c r="I71" s="88"/>
      <c r="M71" s="88"/>
      <c r="N71" s="88"/>
      <c r="O71" s="88"/>
      <c r="P71" s="88"/>
    </row>
    <row r="72" spans="2:16">
      <c r="B72" s="88"/>
      <c r="C72" s="349">
        <v>521000000000</v>
      </c>
      <c r="D72" s="350"/>
      <c r="E72" s="299">
        <f>SUM(C60:D72)</f>
        <v>9901900000000</v>
      </c>
      <c r="I72" s="88"/>
      <c r="M72" s="88"/>
      <c r="N72" s="88"/>
      <c r="O72" s="88"/>
      <c r="P72" s="88"/>
    </row>
    <row r="73" spans="2:16">
      <c r="B73" s="88" t="s">
        <v>843</v>
      </c>
      <c r="C73" s="318">
        <v>1318800000000</v>
      </c>
      <c r="D73" s="88"/>
      <c r="E73" s="88"/>
      <c r="I73" s="88"/>
      <c r="M73" s="88"/>
      <c r="N73" s="88"/>
      <c r="O73" s="88"/>
      <c r="P73" s="88"/>
    </row>
    <row r="74" spans="2:16">
      <c r="B74" s="88"/>
      <c r="C74" s="88"/>
      <c r="D74" s="88"/>
      <c r="E74" s="88"/>
      <c r="I74" s="88"/>
      <c r="M74" s="88"/>
      <c r="N74" s="88"/>
      <c r="O74" s="88"/>
      <c r="P74" s="88"/>
    </row>
    <row r="75" spans="2:16">
      <c r="B75" s="88"/>
      <c r="C75" s="88"/>
      <c r="D75" s="88"/>
      <c r="E75" s="88"/>
      <c r="I75" s="88"/>
      <c r="M75" s="88"/>
      <c r="N75" s="88"/>
      <c r="O75" s="88"/>
      <c r="P75" s="88"/>
    </row>
    <row r="76" spans="2:16">
      <c r="B76" s="88"/>
      <c r="C76" s="88"/>
      <c r="D76" s="88"/>
      <c r="E76" s="88"/>
      <c r="F76" s="88"/>
      <c r="G76" s="88"/>
      <c r="H76" s="88"/>
      <c r="I76" s="88"/>
      <c r="M76" s="88"/>
      <c r="N76" s="88"/>
      <c r="O76" s="88"/>
      <c r="P76" s="88"/>
    </row>
    <row r="77" spans="2:16">
      <c r="B77" s="88"/>
      <c r="C77" s="88"/>
      <c r="D77" s="88"/>
      <c r="E77" s="88"/>
      <c r="F77" s="88"/>
      <c r="G77" s="88"/>
      <c r="H77" s="88"/>
      <c r="I77" s="88"/>
      <c r="N77" s="88"/>
      <c r="O77" s="88"/>
      <c r="P77" s="88"/>
    </row>
    <row r="78" spans="2:16">
      <c r="B78" s="88"/>
      <c r="C78" s="88"/>
      <c r="D78" s="88"/>
      <c r="E78" s="88"/>
      <c r="F78" s="88"/>
      <c r="G78" s="88"/>
      <c r="H78" s="88"/>
      <c r="I78" s="88"/>
      <c r="J78" s="88"/>
      <c r="K78" s="88"/>
    </row>
    <row r="79" spans="2:16">
      <c r="B79" s="88"/>
      <c r="C79" s="88"/>
      <c r="D79" s="88"/>
      <c r="E79" s="88"/>
      <c r="F79" s="88"/>
      <c r="G79" s="88"/>
      <c r="H79" s="88"/>
      <c r="I79" s="88"/>
      <c r="J79" s="88"/>
      <c r="K79" s="88"/>
      <c r="L79" s="88"/>
    </row>
    <row r="80" spans="2:16">
      <c r="B80" s="88"/>
      <c r="C80" s="88"/>
      <c r="D80" s="88"/>
      <c r="E80" s="88"/>
      <c r="F80" s="88"/>
      <c r="G80" s="88"/>
      <c r="H80" s="88"/>
      <c r="I80" s="88"/>
      <c r="J80" s="88"/>
      <c r="K80" s="88"/>
      <c r="L80" s="88"/>
    </row>
    <row r="81" spans="2:16">
      <c r="B81" s="88"/>
      <c r="C81" s="88"/>
      <c r="D81" s="88"/>
      <c r="E81" s="88"/>
      <c r="F81" s="88"/>
      <c r="G81" s="88"/>
      <c r="H81" s="88"/>
      <c r="I81" s="88"/>
      <c r="J81" s="88"/>
      <c r="K81" s="88"/>
      <c r="L81" s="88"/>
    </row>
    <row r="82" spans="2:16">
      <c r="B82" s="88"/>
      <c r="C82" s="88"/>
      <c r="D82" s="88"/>
      <c r="E82" s="88"/>
      <c r="F82" s="88"/>
      <c r="G82" s="88"/>
      <c r="H82" s="88"/>
      <c r="L82" s="88"/>
    </row>
    <row r="83" spans="2:16">
      <c r="B83" s="88"/>
      <c r="C83" s="88"/>
      <c r="D83" s="88"/>
      <c r="E83" s="88"/>
      <c r="F83" s="88"/>
      <c r="G83" s="88"/>
      <c r="H83" s="88"/>
      <c r="L83" s="88"/>
    </row>
    <row r="84" spans="2:16">
      <c r="B84" s="88"/>
      <c r="C84" s="88"/>
      <c r="D84" s="88"/>
      <c r="E84" s="88"/>
      <c r="F84" s="88"/>
      <c r="G84" s="88"/>
      <c r="H84" s="88"/>
      <c r="L84" s="88"/>
      <c r="M84" s="88"/>
      <c r="O84" s="88"/>
      <c r="P84" s="88"/>
    </row>
    <row r="85" spans="2:16">
      <c r="B85" s="88"/>
      <c r="C85" s="88"/>
      <c r="D85" s="88"/>
      <c r="E85" s="88"/>
      <c r="F85" s="88"/>
      <c r="G85" s="88"/>
      <c r="H85" s="88"/>
      <c r="L85" s="88"/>
      <c r="M85" s="88"/>
      <c r="N85" s="88"/>
      <c r="O85" s="88"/>
      <c r="P85" s="88"/>
    </row>
    <row r="86" spans="2:16">
      <c r="B86" s="88"/>
      <c r="C86" s="88"/>
      <c r="D86" s="88"/>
      <c r="E86" s="88"/>
      <c r="F86" s="88"/>
      <c r="G86" s="88"/>
      <c r="H86" s="88"/>
      <c r="L86" s="88"/>
      <c r="M86" s="88"/>
      <c r="N86" s="88"/>
      <c r="O86" s="88"/>
      <c r="P86" s="88"/>
    </row>
    <row r="87" spans="2:16">
      <c r="B87" s="88"/>
      <c r="C87" s="88"/>
      <c r="D87" s="88"/>
      <c r="E87" s="88"/>
      <c r="F87" s="203"/>
      <c r="G87" s="88"/>
      <c r="H87" s="88"/>
      <c r="I87" s="88"/>
      <c r="L87" s="88"/>
      <c r="M87" s="88"/>
      <c r="N87" s="88"/>
      <c r="O87" s="88"/>
      <c r="P87" s="88"/>
    </row>
    <row r="88" spans="2:16">
      <c r="B88" s="88"/>
      <c r="C88" s="88"/>
      <c r="D88" s="88"/>
      <c r="E88" s="88"/>
      <c r="F88" s="88"/>
      <c r="G88" s="88"/>
      <c r="H88" s="88"/>
      <c r="I88" s="88"/>
      <c r="J88" s="88"/>
      <c r="K88" s="88"/>
      <c r="L88" s="88"/>
      <c r="M88" s="88"/>
      <c r="N88" s="88"/>
      <c r="O88" s="88"/>
      <c r="P88" s="88"/>
    </row>
    <row r="89" spans="2:16">
      <c r="B89" s="88"/>
      <c r="C89" s="88"/>
      <c r="D89" s="88"/>
      <c r="E89" s="88"/>
      <c r="G89" s="88"/>
      <c r="H89" s="88"/>
      <c r="L89" s="88"/>
      <c r="M89" s="88"/>
      <c r="N89" s="88"/>
      <c r="O89" s="88"/>
      <c r="P89" s="88"/>
    </row>
    <row r="90" spans="2:16">
      <c r="B90" s="88"/>
      <c r="C90" s="88"/>
      <c r="D90" s="88"/>
      <c r="E90" s="88"/>
      <c r="G90" s="88"/>
      <c r="H90" s="88"/>
      <c r="L90" s="88"/>
      <c r="M90" s="88"/>
      <c r="N90" s="88"/>
      <c r="O90" s="88"/>
      <c r="P90" s="88"/>
    </row>
    <row r="91" spans="2:16">
      <c r="B91" s="88"/>
      <c r="C91" s="88"/>
      <c r="D91" s="88"/>
      <c r="E91" s="88"/>
      <c r="G91" s="88"/>
      <c r="H91" s="88"/>
      <c r="L91" s="88"/>
      <c r="M91" s="88"/>
      <c r="N91" s="88"/>
      <c r="O91" s="88"/>
      <c r="P91" s="88"/>
    </row>
    <row r="92" spans="2:16">
      <c r="B92" s="88"/>
      <c r="C92" s="88"/>
      <c r="D92" s="88"/>
      <c r="E92" s="88"/>
      <c r="G92" s="88"/>
      <c r="H92" s="88"/>
      <c r="L92" s="88"/>
      <c r="M92" s="88"/>
      <c r="N92" s="88"/>
      <c r="O92" s="88"/>
      <c r="P92" s="88"/>
    </row>
    <row r="93" spans="2:16">
      <c r="B93" s="88"/>
      <c r="C93" s="88"/>
      <c r="D93" s="88"/>
      <c r="E93" s="88"/>
      <c r="G93" s="88"/>
      <c r="H93" s="88"/>
      <c r="L93" s="88"/>
      <c r="M93" s="88"/>
      <c r="N93" s="88"/>
      <c r="O93" s="88"/>
      <c r="P93" s="88"/>
    </row>
    <row r="94" spans="2:16">
      <c r="B94" s="88"/>
      <c r="C94" s="88"/>
      <c r="D94" s="88"/>
      <c r="E94" s="88"/>
      <c r="G94" s="88"/>
      <c r="H94" s="88"/>
      <c r="L94" s="88"/>
      <c r="M94" s="88"/>
    </row>
    <row r="95" spans="2:16">
      <c r="B95" s="88"/>
      <c r="C95" s="88"/>
      <c r="D95" s="88"/>
      <c r="E95" s="88"/>
      <c r="G95" s="88"/>
      <c r="H95" s="88"/>
      <c r="L95" s="88"/>
      <c r="M95" s="88"/>
    </row>
    <row r="96" spans="2:16">
      <c r="B96" s="88"/>
      <c r="C96" s="88"/>
      <c r="D96" s="88"/>
      <c r="E96" s="88"/>
      <c r="G96" s="88"/>
      <c r="H96" s="88"/>
      <c r="L96" s="88"/>
      <c r="M96" s="88"/>
    </row>
    <row r="97" spans="2:16">
      <c r="B97" s="88"/>
      <c r="C97" s="88"/>
      <c r="D97" s="88"/>
      <c r="E97" s="88"/>
      <c r="F97" s="88"/>
      <c r="G97" s="88"/>
      <c r="H97" s="88"/>
      <c r="I97" s="88"/>
      <c r="J97" s="88"/>
      <c r="K97" s="88"/>
      <c r="L97" s="88"/>
      <c r="M97" s="88"/>
    </row>
    <row r="98" spans="2:16">
      <c r="B98" s="88"/>
      <c r="C98" s="88"/>
      <c r="D98" s="88"/>
      <c r="E98" s="88"/>
      <c r="F98" s="88"/>
      <c r="G98" s="88"/>
      <c r="H98" s="88"/>
      <c r="I98" s="88"/>
      <c r="J98" s="88"/>
      <c r="K98" s="88"/>
      <c r="L98" s="88"/>
      <c r="M98" s="88"/>
    </row>
    <row r="99" spans="2:16">
      <c r="B99" s="88"/>
      <c r="C99" s="88"/>
      <c r="D99" s="88"/>
      <c r="E99" s="88"/>
      <c r="F99" s="88"/>
      <c r="G99" s="88"/>
      <c r="H99" s="88"/>
      <c r="I99" s="88"/>
      <c r="J99" s="88"/>
      <c r="K99" s="88"/>
      <c r="L99" s="88"/>
      <c r="M99" s="88"/>
    </row>
    <row r="100" spans="2:16">
      <c r="B100" s="88"/>
      <c r="C100" s="88"/>
      <c r="D100" s="88"/>
      <c r="E100" s="88"/>
      <c r="F100" s="88"/>
      <c r="G100" s="88"/>
      <c r="H100" s="88"/>
      <c r="I100" s="88"/>
      <c r="J100" s="88"/>
      <c r="K100" s="88"/>
      <c r="L100" s="88"/>
      <c r="M100" s="88"/>
    </row>
    <row r="101" spans="2:16">
      <c r="B101" s="88"/>
      <c r="C101" s="88"/>
      <c r="D101" s="88"/>
      <c r="E101" s="88"/>
      <c r="F101" s="88"/>
      <c r="G101" s="88"/>
      <c r="H101" s="88"/>
      <c r="I101" s="88"/>
      <c r="J101" s="88"/>
      <c r="K101" s="88"/>
      <c r="L101" s="88"/>
      <c r="M101" s="88"/>
    </row>
    <row r="102" spans="2:16">
      <c r="B102" s="88"/>
      <c r="C102" s="88"/>
      <c r="D102" s="88"/>
      <c r="E102" s="88"/>
      <c r="F102" s="88"/>
      <c r="G102" s="88"/>
      <c r="H102" s="88"/>
      <c r="I102" s="88"/>
      <c r="J102" s="88"/>
      <c r="K102" s="88"/>
      <c r="L102" s="88"/>
      <c r="M102" s="88"/>
    </row>
    <row r="103" spans="2:16">
      <c r="B103" s="88"/>
      <c r="C103" s="88"/>
      <c r="D103" s="88"/>
      <c r="E103" s="88"/>
      <c r="F103" s="88"/>
      <c r="G103" s="88"/>
      <c r="H103" s="88"/>
      <c r="I103" s="88"/>
      <c r="J103" s="88"/>
      <c r="K103" s="88"/>
      <c r="L103" s="88"/>
      <c r="M103" s="88"/>
    </row>
    <row r="104" spans="2:16">
      <c r="B104" s="88"/>
      <c r="C104" s="88"/>
      <c r="D104" s="88"/>
      <c r="E104" s="88"/>
      <c r="F104" s="88"/>
      <c r="G104" s="88"/>
      <c r="H104" s="88"/>
      <c r="I104" s="88"/>
      <c r="J104" s="88"/>
      <c r="K104" s="88"/>
      <c r="L104" s="88"/>
      <c r="M104" s="88"/>
    </row>
    <row r="105" spans="2:16">
      <c r="B105" s="88"/>
      <c r="C105" s="88"/>
      <c r="D105" s="88"/>
      <c r="E105" s="88"/>
      <c r="F105" s="88"/>
      <c r="G105" s="88"/>
      <c r="H105" s="88"/>
      <c r="I105" s="88"/>
      <c r="J105" s="88"/>
      <c r="K105" s="88"/>
      <c r="L105" s="88"/>
      <c r="M105" s="88"/>
    </row>
    <row r="106" spans="2:16">
      <c r="B106" s="88"/>
      <c r="C106" s="88"/>
      <c r="D106" s="88"/>
      <c r="E106" s="88"/>
      <c r="F106" s="88"/>
      <c r="G106" s="88"/>
      <c r="H106" s="88"/>
      <c r="I106" s="88"/>
      <c r="J106" s="88"/>
      <c r="K106" s="88"/>
      <c r="L106" s="88"/>
      <c r="M106" s="88"/>
    </row>
    <row r="107" spans="2:16">
      <c r="B107" s="88"/>
      <c r="C107" s="88"/>
      <c r="D107" s="88"/>
      <c r="E107" s="88"/>
      <c r="F107" s="88"/>
      <c r="G107" s="88"/>
      <c r="H107" s="88"/>
      <c r="I107" s="88"/>
      <c r="J107" s="88"/>
      <c r="K107" s="88"/>
      <c r="L107" s="88"/>
      <c r="M107" s="88"/>
    </row>
    <row r="108" spans="2:16">
      <c r="B108" s="88"/>
      <c r="C108" s="88"/>
      <c r="D108" s="88"/>
      <c r="E108" s="88"/>
      <c r="F108" s="88"/>
      <c r="G108" s="88"/>
      <c r="H108" s="88"/>
      <c r="I108" s="88"/>
      <c r="J108" s="88"/>
      <c r="K108" s="88"/>
      <c r="L108" s="88"/>
      <c r="M108" s="88"/>
    </row>
    <row r="109" spans="2:16">
      <c r="B109" s="88"/>
      <c r="C109" s="88"/>
      <c r="D109" s="88"/>
      <c r="E109" s="88"/>
      <c r="F109" s="88"/>
      <c r="G109" s="88"/>
      <c r="H109" s="88"/>
      <c r="I109" s="88"/>
      <c r="J109" s="88"/>
      <c r="K109" s="88"/>
      <c r="L109" s="88"/>
      <c r="M109" s="88"/>
      <c r="N109" s="88"/>
      <c r="O109" s="88"/>
      <c r="P109" s="88"/>
    </row>
    <row r="110" spans="2:16">
      <c r="B110" s="88"/>
      <c r="C110" s="88"/>
      <c r="D110" s="88"/>
      <c r="E110" s="88"/>
      <c r="F110" s="88"/>
      <c r="G110" s="88"/>
      <c r="H110" s="88"/>
      <c r="I110" s="88"/>
      <c r="J110" s="88"/>
      <c r="K110" s="88"/>
      <c r="L110" s="88"/>
      <c r="M110" s="88"/>
      <c r="N110" s="88"/>
      <c r="O110" s="88"/>
      <c r="P110" s="88"/>
    </row>
    <row r="111" spans="2:16">
      <c r="B111" s="88"/>
      <c r="C111" s="88"/>
      <c r="D111" s="88"/>
      <c r="E111" s="88"/>
      <c r="F111" s="88"/>
      <c r="G111" s="88"/>
      <c r="H111" s="88"/>
      <c r="I111" s="88"/>
      <c r="J111" s="88"/>
      <c r="K111" s="88"/>
      <c r="L111" s="88"/>
      <c r="M111" s="88"/>
      <c r="N111" s="88"/>
      <c r="O111" s="88"/>
      <c r="P111" s="88"/>
    </row>
    <row r="112" spans="2:16">
      <c r="B112" s="88"/>
      <c r="C112" s="88"/>
      <c r="D112" s="88"/>
      <c r="E112" s="88"/>
      <c r="F112" s="88"/>
      <c r="G112" s="88"/>
      <c r="H112" s="88"/>
      <c r="I112" s="88"/>
      <c r="J112" s="88"/>
      <c r="K112" s="88"/>
      <c r="L112" s="88"/>
      <c r="M112" s="88"/>
      <c r="N112" s="88"/>
      <c r="O112" s="88"/>
      <c r="P112" s="88"/>
    </row>
    <row r="113" spans="2:16">
      <c r="B113" s="88"/>
      <c r="C113" s="88"/>
      <c r="D113" s="88"/>
      <c r="E113" s="88"/>
      <c r="F113" s="88"/>
      <c r="G113" s="88"/>
      <c r="H113" s="88"/>
      <c r="I113" s="88"/>
      <c r="J113" s="88"/>
      <c r="K113" s="88"/>
      <c r="L113" s="88"/>
      <c r="M113" s="88"/>
      <c r="N113" s="88"/>
      <c r="O113" s="88"/>
      <c r="P113" s="88"/>
    </row>
    <row r="114" spans="2:16">
      <c r="B114" s="88"/>
      <c r="C114" s="88"/>
      <c r="D114" s="88"/>
      <c r="E114" s="88"/>
      <c r="F114" s="88"/>
      <c r="G114" s="88"/>
      <c r="H114" s="88"/>
      <c r="I114" s="88"/>
      <c r="J114" s="88"/>
      <c r="K114" s="88"/>
      <c r="L114" s="88"/>
      <c r="M114" s="88"/>
      <c r="N114" s="88"/>
      <c r="O114" s="88"/>
      <c r="P114" s="88"/>
    </row>
    <row r="115" spans="2:16">
      <c r="B115" s="88"/>
      <c r="C115" s="88"/>
      <c r="D115" s="88"/>
      <c r="E115" s="88"/>
      <c r="F115" s="88"/>
      <c r="G115" s="88"/>
      <c r="H115" s="88"/>
      <c r="I115" s="88"/>
      <c r="J115" s="88"/>
      <c r="K115" s="88"/>
      <c r="L115" s="88"/>
      <c r="M115" s="88"/>
      <c r="N115" s="88"/>
      <c r="O115" s="88"/>
      <c r="P115" s="88"/>
    </row>
    <row r="116" spans="2:16">
      <c r="B116" s="88"/>
      <c r="C116" s="88"/>
      <c r="D116" s="88"/>
      <c r="E116" s="88"/>
      <c r="F116" s="88"/>
      <c r="G116" s="88"/>
      <c r="H116" s="88"/>
      <c r="I116" s="88"/>
      <c r="J116" s="88"/>
      <c r="K116" s="88"/>
      <c r="L116" s="88"/>
      <c r="M116" s="88"/>
      <c r="N116" s="88"/>
      <c r="O116" s="88"/>
      <c r="P116" s="88"/>
    </row>
    <row r="117" spans="2:16">
      <c r="B117" s="88"/>
      <c r="C117" s="88"/>
      <c r="D117" s="88"/>
      <c r="E117" s="88"/>
      <c r="F117" s="88"/>
      <c r="G117" s="88"/>
      <c r="H117" s="88"/>
      <c r="I117" s="88"/>
      <c r="J117" s="88"/>
      <c r="K117" s="88"/>
      <c r="L117" s="88"/>
      <c r="M117" s="88"/>
      <c r="N117" s="88"/>
      <c r="O117" s="88"/>
      <c r="P117" s="88"/>
    </row>
    <row r="118" spans="2:16">
      <c r="B118" s="88"/>
      <c r="C118" s="88"/>
      <c r="D118" s="88"/>
      <c r="F118" s="88"/>
      <c r="G118" s="88"/>
      <c r="H118" s="88"/>
      <c r="I118" s="88"/>
      <c r="J118" s="88"/>
      <c r="K118" s="88"/>
      <c r="L118" s="88"/>
      <c r="M118" s="88"/>
      <c r="N118" s="88"/>
      <c r="O118" s="88"/>
      <c r="P118" s="88"/>
    </row>
    <row r="119" spans="2:16">
      <c r="B119" s="88"/>
      <c r="C119" s="88"/>
      <c r="D119" s="88"/>
      <c r="F119" s="88"/>
      <c r="G119" s="88"/>
      <c r="H119" s="88"/>
      <c r="I119" s="88"/>
      <c r="J119" s="88"/>
      <c r="K119" s="88"/>
      <c r="L119" s="88"/>
      <c r="M119" s="88"/>
      <c r="N119" s="88"/>
      <c r="O119" s="88"/>
      <c r="P119" s="88"/>
    </row>
    <row r="120" spans="2:16">
      <c r="B120" s="88"/>
      <c r="C120" s="88"/>
      <c r="D120" s="88"/>
      <c r="F120" s="88"/>
      <c r="G120" s="88"/>
      <c r="H120" s="88"/>
      <c r="I120" s="88"/>
      <c r="J120" s="88"/>
      <c r="K120" s="88"/>
      <c r="L120" s="88"/>
      <c r="M120" s="88"/>
      <c r="N120" s="88"/>
      <c r="O120" s="88"/>
      <c r="P120" s="88"/>
    </row>
    <row r="121" spans="2:16">
      <c r="B121" s="88"/>
      <c r="C121" s="88"/>
      <c r="D121" s="88"/>
      <c r="F121" s="88"/>
      <c r="G121" s="88"/>
      <c r="H121" s="88"/>
      <c r="I121" s="88"/>
      <c r="J121" s="88"/>
      <c r="K121" s="88"/>
      <c r="L121" s="88"/>
      <c r="M121" s="88"/>
      <c r="N121" s="88"/>
      <c r="O121" s="88"/>
      <c r="P121" s="88"/>
    </row>
    <row r="122" spans="2:16">
      <c r="B122" s="88"/>
      <c r="C122" s="88"/>
      <c r="D122" s="88"/>
      <c r="F122" s="88"/>
      <c r="G122" s="88"/>
      <c r="H122" s="88"/>
      <c r="I122" s="88"/>
      <c r="J122" s="88"/>
      <c r="K122" s="88"/>
      <c r="L122" s="88"/>
      <c r="M122" s="88"/>
      <c r="N122" s="88"/>
      <c r="O122" s="88"/>
      <c r="P122" s="88"/>
    </row>
    <row r="123" spans="2:16">
      <c r="B123" s="88"/>
      <c r="C123" s="88"/>
      <c r="D123" s="88"/>
      <c r="F123" s="88"/>
      <c r="G123" s="88"/>
      <c r="H123" s="88"/>
      <c r="I123" s="88"/>
      <c r="J123" s="88"/>
      <c r="K123" s="88"/>
      <c r="L123" s="88"/>
      <c r="M123" s="88"/>
      <c r="N123" s="88"/>
      <c r="O123" s="88"/>
      <c r="P123" s="88"/>
    </row>
    <row r="124" spans="2:16">
      <c r="B124" s="88"/>
      <c r="C124" s="88"/>
      <c r="D124" s="88"/>
      <c r="F124" s="88"/>
      <c r="G124" s="88"/>
      <c r="H124" s="88"/>
      <c r="I124" s="88"/>
      <c r="J124" s="88"/>
      <c r="K124" s="88"/>
      <c r="L124" s="88"/>
      <c r="M124" s="88"/>
      <c r="N124" s="88"/>
      <c r="O124" s="88"/>
      <c r="P124" s="88"/>
    </row>
    <row r="125" spans="2:16">
      <c r="B125" s="88"/>
      <c r="C125" s="88"/>
      <c r="D125" s="88"/>
      <c r="F125" s="88"/>
      <c r="G125" s="88"/>
      <c r="H125" s="88"/>
      <c r="I125" s="88"/>
      <c r="J125" s="88"/>
      <c r="K125" s="88"/>
      <c r="L125" s="88"/>
      <c r="M125" s="88"/>
      <c r="N125" s="88"/>
      <c r="O125" s="88"/>
      <c r="P125" s="88"/>
    </row>
    <row r="126" spans="2:16">
      <c r="L126" s="88"/>
      <c r="M126" s="88"/>
      <c r="N126" s="88"/>
      <c r="O126" s="88"/>
      <c r="P126" s="88"/>
    </row>
    <row r="127" spans="2:16">
      <c r="L127" s="88"/>
      <c r="M127" s="88"/>
      <c r="N127" s="88"/>
      <c r="O127" s="88"/>
      <c r="P127" s="88"/>
    </row>
    <row r="128" spans="2:16">
      <c r="L128" s="88"/>
      <c r="M128" s="88"/>
      <c r="N128" s="88"/>
      <c r="O128" s="88"/>
      <c r="P128" s="88"/>
    </row>
    <row r="129" spans="12:16">
      <c r="L129" s="88"/>
      <c r="M129" s="88"/>
      <c r="N129" s="88"/>
      <c r="O129" s="88"/>
      <c r="P129" s="88"/>
    </row>
    <row r="130" spans="12:16">
      <c r="L130" s="88"/>
      <c r="M130" s="88"/>
      <c r="N130" s="88"/>
      <c r="O130" s="88"/>
      <c r="P130" s="88"/>
    </row>
    <row r="131" spans="12:16">
      <c r="L131" s="88"/>
      <c r="M131" s="88"/>
      <c r="N131" s="88"/>
      <c r="O131" s="88"/>
      <c r="P131" s="88"/>
    </row>
    <row r="132" spans="12:16">
      <c r="L132" s="88"/>
      <c r="M132" s="88"/>
      <c r="N132" s="88"/>
      <c r="O132" s="88"/>
      <c r="P132" s="88"/>
    </row>
    <row r="133" spans="12:16">
      <c r="L133" s="88"/>
      <c r="M133" s="88"/>
      <c r="N133" s="88"/>
      <c r="O133" s="88"/>
      <c r="P133" s="88"/>
    </row>
  </sheetData>
  <mergeCells count="4">
    <mergeCell ref="H60:I60"/>
    <mergeCell ref="H62:I62"/>
    <mergeCell ref="H64:I64"/>
    <mergeCell ref="C72:D72"/>
  </mergeCells>
  <phoneticPr fontId="69"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B2:U158"/>
  <sheetViews>
    <sheetView workbookViewId="0"/>
  </sheetViews>
  <sheetFormatPr defaultColWidth="12.6640625" defaultRowHeight="15.75" customHeight="1"/>
  <sheetData>
    <row r="2" spans="2:21">
      <c r="B2" s="1" t="s">
        <v>844</v>
      </c>
      <c r="I2" s="1" t="s">
        <v>845</v>
      </c>
      <c r="P2" s="88" t="s">
        <v>284</v>
      </c>
      <c r="Q2" s="88"/>
      <c r="R2" s="88"/>
      <c r="S2" s="88"/>
      <c r="T2" s="88"/>
      <c r="U2" s="88"/>
    </row>
    <row r="3" spans="2:21">
      <c r="C3" s="88" t="s">
        <v>846</v>
      </c>
      <c r="D3" s="88" t="s">
        <v>847</v>
      </c>
      <c r="E3" s="88" t="s">
        <v>848</v>
      </c>
      <c r="F3" s="88" t="s">
        <v>849</v>
      </c>
      <c r="G3" s="88" t="s">
        <v>681</v>
      </c>
      <c r="I3" s="319"/>
      <c r="J3" s="319" t="s">
        <v>424</v>
      </c>
      <c r="K3" s="319" t="s">
        <v>847</v>
      </c>
      <c r="L3" s="319" t="s">
        <v>848</v>
      </c>
      <c r="M3" s="319" t="s">
        <v>849</v>
      </c>
      <c r="N3" s="319" t="s">
        <v>681</v>
      </c>
      <c r="P3" s="319"/>
      <c r="Q3" s="319" t="s">
        <v>846</v>
      </c>
      <c r="R3" s="319" t="s">
        <v>847</v>
      </c>
      <c r="S3" s="319" t="s">
        <v>848</v>
      </c>
      <c r="T3" s="319" t="s">
        <v>849</v>
      </c>
      <c r="U3" s="319" t="s">
        <v>681</v>
      </c>
    </row>
    <row r="4" spans="2:21">
      <c r="B4" s="1">
        <v>1</v>
      </c>
      <c r="C4" s="319" t="s">
        <v>850</v>
      </c>
      <c r="D4" s="319" t="s">
        <v>851</v>
      </c>
      <c r="E4" s="320" t="s">
        <v>852</v>
      </c>
      <c r="F4" s="320" t="s">
        <v>853</v>
      </c>
      <c r="G4" s="321">
        <v>0.98450000000000004</v>
      </c>
      <c r="I4" s="320">
        <v>1</v>
      </c>
      <c r="J4" s="319" t="s">
        <v>850</v>
      </c>
      <c r="K4" s="319" t="s">
        <v>851</v>
      </c>
      <c r="L4" s="320" t="s">
        <v>852</v>
      </c>
      <c r="M4" s="320" t="s">
        <v>853</v>
      </c>
      <c r="N4" s="320">
        <v>1</v>
      </c>
      <c r="P4" s="320">
        <v>1</v>
      </c>
      <c r="Q4" s="319" t="s">
        <v>472</v>
      </c>
      <c r="R4" s="319" t="s">
        <v>851</v>
      </c>
      <c r="S4" s="320" t="s">
        <v>854</v>
      </c>
      <c r="T4" s="320" t="s">
        <v>855</v>
      </c>
      <c r="U4" s="320">
        <v>0.97519999999999996</v>
      </c>
    </row>
    <row r="5" spans="2:21">
      <c r="B5" s="1">
        <v>2</v>
      </c>
      <c r="C5" s="319" t="s">
        <v>856</v>
      </c>
      <c r="D5" s="319" t="s">
        <v>857</v>
      </c>
      <c r="E5" s="320" t="s">
        <v>858</v>
      </c>
      <c r="F5" s="320" t="s">
        <v>859</v>
      </c>
      <c r="G5" s="321">
        <v>1</v>
      </c>
      <c r="I5" s="320">
        <v>2</v>
      </c>
      <c r="J5" s="319" t="s">
        <v>860</v>
      </c>
      <c r="K5" s="319" t="s">
        <v>861</v>
      </c>
      <c r="L5" s="320" t="s">
        <v>862</v>
      </c>
      <c r="M5" s="320" t="s">
        <v>863</v>
      </c>
      <c r="N5" s="320">
        <v>1</v>
      </c>
      <c r="P5" s="320">
        <v>2</v>
      </c>
      <c r="Q5" s="319" t="s">
        <v>472</v>
      </c>
      <c r="R5" s="319" t="s">
        <v>851</v>
      </c>
      <c r="S5" s="320" t="s">
        <v>854</v>
      </c>
      <c r="T5" s="320" t="s">
        <v>864</v>
      </c>
      <c r="U5" s="320">
        <v>0.97470000000000001</v>
      </c>
    </row>
    <row r="6" spans="2:21">
      <c r="B6" s="1">
        <v>3</v>
      </c>
      <c r="C6" s="319" t="s">
        <v>860</v>
      </c>
      <c r="D6" s="319" t="s">
        <v>861</v>
      </c>
      <c r="E6" s="320" t="s">
        <v>862</v>
      </c>
      <c r="F6" s="320" t="s">
        <v>863</v>
      </c>
      <c r="G6" s="321">
        <v>0.99239999999999995</v>
      </c>
      <c r="I6" s="320">
        <v>3</v>
      </c>
      <c r="J6" s="319" t="s">
        <v>860</v>
      </c>
      <c r="K6" s="319" t="s">
        <v>861</v>
      </c>
      <c r="L6" s="320" t="s">
        <v>865</v>
      </c>
      <c r="M6" s="320" t="s">
        <v>863</v>
      </c>
      <c r="N6" s="320">
        <v>1</v>
      </c>
      <c r="P6" s="320">
        <v>3</v>
      </c>
      <c r="Q6" s="319" t="s">
        <v>472</v>
      </c>
      <c r="R6" s="319" t="s">
        <v>851</v>
      </c>
      <c r="S6" s="320" t="s">
        <v>854</v>
      </c>
      <c r="T6" s="320" t="s">
        <v>866</v>
      </c>
      <c r="U6" s="320">
        <v>0.59570000000000001</v>
      </c>
    </row>
    <row r="7" spans="2:21">
      <c r="B7" s="1">
        <v>4</v>
      </c>
      <c r="C7" s="319" t="s">
        <v>867</v>
      </c>
      <c r="D7" s="319" t="s">
        <v>851</v>
      </c>
      <c r="E7" s="320" t="s">
        <v>868</v>
      </c>
      <c r="F7" s="320" t="s">
        <v>869</v>
      </c>
      <c r="G7" s="321">
        <v>1</v>
      </c>
      <c r="I7" s="320">
        <v>4</v>
      </c>
      <c r="J7" s="319" t="s">
        <v>870</v>
      </c>
      <c r="K7" s="319" t="s">
        <v>871</v>
      </c>
      <c r="L7" s="320" t="s">
        <v>872</v>
      </c>
      <c r="M7" s="320" t="s">
        <v>873</v>
      </c>
      <c r="N7" s="320">
        <v>1</v>
      </c>
      <c r="P7" s="320">
        <v>4</v>
      </c>
      <c r="Q7" s="319" t="s">
        <v>874</v>
      </c>
      <c r="R7" s="319" t="s">
        <v>875</v>
      </c>
      <c r="S7" s="320" t="s">
        <v>876</v>
      </c>
      <c r="T7" s="320" t="s">
        <v>877</v>
      </c>
      <c r="U7" s="320">
        <v>0.94299999999999995</v>
      </c>
    </row>
    <row r="8" spans="2:21">
      <c r="B8" s="1">
        <v>5</v>
      </c>
      <c r="C8" s="319" t="s">
        <v>860</v>
      </c>
      <c r="D8" s="319" t="s">
        <v>861</v>
      </c>
      <c r="E8" s="320" t="s">
        <v>865</v>
      </c>
      <c r="F8" s="320" t="s">
        <v>863</v>
      </c>
      <c r="G8" s="321">
        <v>0.99219999999999997</v>
      </c>
      <c r="I8" s="320">
        <v>5</v>
      </c>
      <c r="J8" s="319" t="s">
        <v>472</v>
      </c>
      <c r="K8" s="319" t="s">
        <v>851</v>
      </c>
      <c r="L8" s="320" t="s">
        <v>854</v>
      </c>
      <c r="M8" s="320" t="s">
        <v>878</v>
      </c>
      <c r="N8" s="320">
        <v>0.96619999999999995</v>
      </c>
      <c r="P8" s="320">
        <v>5</v>
      </c>
      <c r="Q8" s="319" t="s">
        <v>472</v>
      </c>
      <c r="R8" s="319" t="s">
        <v>851</v>
      </c>
      <c r="S8" s="320" t="s">
        <v>879</v>
      </c>
      <c r="T8" s="320" t="s">
        <v>880</v>
      </c>
      <c r="U8" s="320">
        <v>0.96040000000000003</v>
      </c>
    </row>
    <row r="9" spans="2:21">
      <c r="B9" s="1">
        <v>6</v>
      </c>
      <c r="C9" s="319" t="s">
        <v>870</v>
      </c>
      <c r="D9" s="319" t="s">
        <v>871</v>
      </c>
      <c r="E9" s="320" t="s">
        <v>872</v>
      </c>
      <c r="F9" s="320" t="s">
        <v>881</v>
      </c>
      <c r="G9" s="321">
        <v>0.96789999999999998</v>
      </c>
      <c r="I9" s="320">
        <v>6</v>
      </c>
      <c r="J9" s="319" t="s">
        <v>472</v>
      </c>
      <c r="K9" s="319" t="s">
        <v>851</v>
      </c>
      <c r="L9" s="320" t="s">
        <v>854</v>
      </c>
      <c r="M9" s="320" t="s">
        <v>882</v>
      </c>
      <c r="N9" s="320">
        <v>0.92290000000000005</v>
      </c>
      <c r="P9" s="320">
        <v>6</v>
      </c>
      <c r="Q9" s="319" t="s">
        <v>472</v>
      </c>
      <c r="R9" s="319" t="s">
        <v>861</v>
      </c>
      <c r="S9" s="320" t="s">
        <v>883</v>
      </c>
      <c r="T9" s="320" t="s">
        <v>884</v>
      </c>
      <c r="U9" s="320">
        <v>1</v>
      </c>
    </row>
    <row r="10" spans="2:21">
      <c r="B10" s="1">
        <v>7</v>
      </c>
      <c r="C10" s="319" t="s">
        <v>472</v>
      </c>
      <c r="D10" s="319" t="s">
        <v>851</v>
      </c>
      <c r="E10" s="320" t="s">
        <v>854</v>
      </c>
      <c r="F10" s="320" t="s">
        <v>885</v>
      </c>
      <c r="G10" s="321">
        <v>0.66439999999999999</v>
      </c>
      <c r="I10" s="320">
        <v>7</v>
      </c>
      <c r="J10" s="319" t="s">
        <v>472</v>
      </c>
      <c r="K10" s="319" t="s">
        <v>851</v>
      </c>
      <c r="L10" s="320" t="s">
        <v>854</v>
      </c>
      <c r="M10" s="320" t="s">
        <v>886</v>
      </c>
      <c r="N10" s="320">
        <v>4.8300000000000003E-2</v>
      </c>
      <c r="P10" s="320">
        <v>7</v>
      </c>
      <c r="Q10" s="319" t="s">
        <v>472</v>
      </c>
      <c r="R10" s="319" t="s">
        <v>861</v>
      </c>
      <c r="S10" s="320" t="s">
        <v>883</v>
      </c>
      <c r="T10" s="320" t="s">
        <v>887</v>
      </c>
      <c r="U10" s="320">
        <v>1</v>
      </c>
    </row>
    <row r="11" spans="2:21">
      <c r="B11" s="1">
        <v>8</v>
      </c>
      <c r="C11" s="319" t="s">
        <v>472</v>
      </c>
      <c r="D11" s="319" t="s">
        <v>851</v>
      </c>
      <c r="E11" s="320" t="s">
        <v>854</v>
      </c>
      <c r="F11" s="320" t="s">
        <v>888</v>
      </c>
      <c r="G11" s="321">
        <v>0.37519999999999998</v>
      </c>
      <c r="I11" s="320">
        <v>8</v>
      </c>
      <c r="J11" s="319" t="s">
        <v>850</v>
      </c>
      <c r="K11" s="319" t="s">
        <v>851</v>
      </c>
      <c r="L11" s="320" t="s">
        <v>852</v>
      </c>
      <c r="M11" s="320" t="s">
        <v>889</v>
      </c>
      <c r="N11" s="320">
        <v>1</v>
      </c>
      <c r="P11" s="320">
        <v>8</v>
      </c>
      <c r="Q11" s="319" t="s">
        <v>472</v>
      </c>
      <c r="R11" s="319" t="s">
        <v>871</v>
      </c>
      <c r="S11" s="320" t="s">
        <v>890</v>
      </c>
      <c r="T11" s="320" t="s">
        <v>891</v>
      </c>
      <c r="U11" s="320">
        <v>0.88580000000000003</v>
      </c>
    </row>
    <row r="12" spans="2:21">
      <c r="B12" s="1">
        <v>9</v>
      </c>
      <c r="C12" s="319" t="s">
        <v>472</v>
      </c>
      <c r="D12" s="319" t="s">
        <v>851</v>
      </c>
      <c r="E12" s="320" t="s">
        <v>854</v>
      </c>
      <c r="F12" s="320" t="s">
        <v>886</v>
      </c>
      <c r="G12" s="321">
        <v>7.3000000000000001E-3</v>
      </c>
      <c r="I12" s="320">
        <v>9</v>
      </c>
      <c r="J12" s="319" t="s">
        <v>472</v>
      </c>
      <c r="K12" s="319" t="s">
        <v>851</v>
      </c>
      <c r="L12" s="320" t="s">
        <v>879</v>
      </c>
      <c r="M12" s="320" t="s">
        <v>892</v>
      </c>
      <c r="N12" s="320">
        <v>0.21820000000000001</v>
      </c>
      <c r="P12" s="320">
        <v>9</v>
      </c>
      <c r="Q12" s="319" t="s">
        <v>472</v>
      </c>
      <c r="R12" s="319" t="s">
        <v>871</v>
      </c>
      <c r="S12" s="320" t="s">
        <v>890</v>
      </c>
      <c r="T12" s="320" t="s">
        <v>893</v>
      </c>
      <c r="U12" s="320">
        <v>0.8276</v>
      </c>
    </row>
    <row r="13" spans="2:21">
      <c r="B13" s="1">
        <v>10</v>
      </c>
      <c r="C13" s="319" t="s">
        <v>472</v>
      </c>
      <c r="D13" s="319" t="s">
        <v>851</v>
      </c>
      <c r="E13" s="320" t="s">
        <v>894</v>
      </c>
      <c r="F13" s="320" t="s">
        <v>895</v>
      </c>
      <c r="G13" s="321">
        <v>0.32819999999999999</v>
      </c>
      <c r="I13" s="320">
        <v>10</v>
      </c>
      <c r="J13" s="319" t="s">
        <v>472</v>
      </c>
      <c r="K13" s="319" t="s">
        <v>861</v>
      </c>
      <c r="L13" s="320" t="s">
        <v>883</v>
      </c>
      <c r="M13" s="320" t="s">
        <v>896</v>
      </c>
      <c r="N13" s="320">
        <v>0.68320000000000003</v>
      </c>
      <c r="P13" s="320">
        <v>10</v>
      </c>
      <c r="Q13" s="319" t="s">
        <v>472</v>
      </c>
      <c r="R13" s="319" t="s">
        <v>871</v>
      </c>
      <c r="S13" s="320" t="s">
        <v>890</v>
      </c>
      <c r="T13" s="320" t="s">
        <v>897</v>
      </c>
      <c r="U13" s="320">
        <v>1</v>
      </c>
    </row>
    <row r="14" spans="2:21">
      <c r="B14" s="1">
        <v>11</v>
      </c>
      <c r="C14" s="319" t="s">
        <v>850</v>
      </c>
      <c r="D14" s="319" t="s">
        <v>851</v>
      </c>
      <c r="E14" s="320" t="s">
        <v>852</v>
      </c>
      <c r="F14" s="320" t="s">
        <v>898</v>
      </c>
      <c r="G14" s="321">
        <v>0.93479999999999996</v>
      </c>
      <c r="I14" s="320">
        <v>11</v>
      </c>
      <c r="J14" s="319" t="s">
        <v>472</v>
      </c>
      <c r="K14" s="319" t="s">
        <v>861</v>
      </c>
      <c r="L14" s="320" t="s">
        <v>883</v>
      </c>
      <c r="M14" s="320" t="s">
        <v>899</v>
      </c>
      <c r="N14" s="320">
        <v>0.49099999999999999</v>
      </c>
      <c r="P14" s="320">
        <v>11</v>
      </c>
      <c r="Q14" s="319" t="s">
        <v>472</v>
      </c>
      <c r="R14" s="319" t="s">
        <v>871</v>
      </c>
      <c r="S14" s="320" t="s">
        <v>890</v>
      </c>
      <c r="T14" s="320" t="s">
        <v>900</v>
      </c>
      <c r="U14" s="320">
        <v>1</v>
      </c>
    </row>
    <row r="15" spans="2:21">
      <c r="B15" s="1">
        <v>12</v>
      </c>
      <c r="C15" s="319" t="s">
        <v>472</v>
      </c>
      <c r="D15" s="319" t="s">
        <v>851</v>
      </c>
      <c r="E15" s="320" t="s">
        <v>879</v>
      </c>
      <c r="F15" s="320" t="s">
        <v>901</v>
      </c>
      <c r="G15" s="321">
        <v>4.7999999999999996E-3</v>
      </c>
      <c r="I15" s="320">
        <v>12</v>
      </c>
      <c r="J15" s="319" t="s">
        <v>472</v>
      </c>
      <c r="K15" s="319" t="s">
        <v>871</v>
      </c>
      <c r="L15" s="320" t="s">
        <v>890</v>
      </c>
      <c r="M15" s="320" t="s">
        <v>902</v>
      </c>
      <c r="N15" s="320">
        <v>4.1700000000000001E-2</v>
      </c>
      <c r="P15" s="320">
        <v>12</v>
      </c>
      <c r="Q15" s="319" t="s">
        <v>472</v>
      </c>
      <c r="R15" s="319" t="s">
        <v>871</v>
      </c>
      <c r="S15" s="320" t="s">
        <v>890</v>
      </c>
      <c r="T15" s="320" t="s">
        <v>903</v>
      </c>
      <c r="U15" s="320">
        <v>0.70660000000000001</v>
      </c>
    </row>
    <row r="16" spans="2:21">
      <c r="B16" s="1">
        <v>13</v>
      </c>
      <c r="C16" s="319" t="s">
        <v>472</v>
      </c>
      <c r="D16" s="319" t="s">
        <v>861</v>
      </c>
      <c r="E16" s="320" t="s">
        <v>883</v>
      </c>
      <c r="F16" s="320" t="s">
        <v>904</v>
      </c>
      <c r="G16" s="321">
        <v>1.5900000000000001E-2</v>
      </c>
      <c r="I16" s="320">
        <v>13</v>
      </c>
      <c r="J16" s="319" t="s">
        <v>472</v>
      </c>
      <c r="K16" s="319" t="s">
        <v>871</v>
      </c>
      <c r="L16" s="320" t="s">
        <v>890</v>
      </c>
      <c r="M16" s="320" t="s">
        <v>905</v>
      </c>
      <c r="N16" s="320">
        <v>6.3E-3</v>
      </c>
      <c r="P16" s="320">
        <v>13</v>
      </c>
      <c r="Q16" s="319" t="s">
        <v>472</v>
      </c>
      <c r="R16" s="319" t="s">
        <v>871</v>
      </c>
      <c r="S16" s="320" t="s">
        <v>890</v>
      </c>
      <c r="T16" s="320" t="s">
        <v>906</v>
      </c>
      <c r="U16" s="320">
        <v>0.58109999999999995</v>
      </c>
    </row>
    <row r="17" spans="2:21">
      <c r="B17" s="1">
        <v>14</v>
      </c>
      <c r="C17" s="319" t="s">
        <v>472</v>
      </c>
      <c r="D17" s="319" t="s">
        <v>861</v>
      </c>
      <c r="E17" s="320" t="s">
        <v>883</v>
      </c>
      <c r="F17" s="320" t="s">
        <v>907</v>
      </c>
      <c r="G17" s="321">
        <v>3.7000000000000002E-3</v>
      </c>
      <c r="I17" s="320">
        <v>14</v>
      </c>
      <c r="J17" s="319" t="s">
        <v>472</v>
      </c>
      <c r="K17" s="319" t="s">
        <v>871</v>
      </c>
      <c r="L17" s="320" t="s">
        <v>890</v>
      </c>
      <c r="M17" s="320" t="s">
        <v>908</v>
      </c>
      <c r="N17" s="320">
        <v>0.69769999999999999</v>
      </c>
      <c r="P17" s="320">
        <v>14</v>
      </c>
      <c r="Q17" s="319" t="s">
        <v>909</v>
      </c>
      <c r="R17" s="319" t="s">
        <v>857</v>
      </c>
      <c r="S17" s="320" t="s">
        <v>910</v>
      </c>
      <c r="T17" s="320" t="s">
        <v>911</v>
      </c>
      <c r="U17" s="320">
        <v>0.60560000000000003</v>
      </c>
    </row>
    <row r="18" spans="2:21">
      <c r="B18" s="1">
        <v>15</v>
      </c>
      <c r="C18" s="319" t="s">
        <v>472</v>
      </c>
      <c r="D18" s="319" t="s">
        <v>871</v>
      </c>
      <c r="E18" s="320" t="s">
        <v>890</v>
      </c>
      <c r="F18" s="320" t="s">
        <v>912</v>
      </c>
      <c r="G18" s="321">
        <v>8.0000000000000004E-4</v>
      </c>
      <c r="I18" s="320">
        <v>15</v>
      </c>
      <c r="J18" s="319" t="s">
        <v>472</v>
      </c>
      <c r="K18" s="319" t="s">
        <v>871</v>
      </c>
      <c r="L18" s="320" t="s">
        <v>890</v>
      </c>
      <c r="M18" s="320" t="s">
        <v>913</v>
      </c>
      <c r="N18" s="320">
        <v>0.60370000000000001</v>
      </c>
      <c r="P18" s="320">
        <v>15</v>
      </c>
      <c r="Q18" s="319" t="s">
        <v>909</v>
      </c>
      <c r="R18" s="319" t="s">
        <v>857</v>
      </c>
      <c r="S18" s="320" t="s">
        <v>914</v>
      </c>
      <c r="T18" s="320" t="s">
        <v>915</v>
      </c>
      <c r="U18" s="320">
        <v>0.9466</v>
      </c>
    </row>
    <row r="19" spans="2:21">
      <c r="B19" s="1">
        <v>16</v>
      </c>
      <c r="C19" s="319" t="s">
        <v>472</v>
      </c>
      <c r="D19" s="319" t="s">
        <v>871</v>
      </c>
      <c r="E19" s="320" t="s">
        <v>890</v>
      </c>
      <c r="F19" s="320" t="s">
        <v>916</v>
      </c>
      <c r="G19" s="321">
        <v>0</v>
      </c>
      <c r="I19" s="320">
        <v>16</v>
      </c>
      <c r="J19" s="319" t="s">
        <v>472</v>
      </c>
      <c r="K19" s="319" t="s">
        <v>871</v>
      </c>
      <c r="L19" s="320" t="s">
        <v>890</v>
      </c>
      <c r="M19" s="320" t="s">
        <v>877</v>
      </c>
      <c r="N19" s="320">
        <v>1.6000000000000001E-3</v>
      </c>
      <c r="P19" s="320">
        <v>16</v>
      </c>
      <c r="Q19" s="319" t="s">
        <v>867</v>
      </c>
      <c r="R19" s="319" t="s">
        <v>917</v>
      </c>
      <c r="S19" s="320" t="s">
        <v>918</v>
      </c>
      <c r="T19" s="320" t="s">
        <v>919</v>
      </c>
      <c r="U19" s="320">
        <v>0.89749999999999996</v>
      </c>
    </row>
    <row r="20" spans="2:21">
      <c r="B20" s="1">
        <v>17</v>
      </c>
      <c r="C20" s="319" t="s">
        <v>472</v>
      </c>
      <c r="D20" s="319" t="s">
        <v>871</v>
      </c>
      <c r="E20" s="320" t="s">
        <v>890</v>
      </c>
      <c r="F20" s="320" t="s">
        <v>920</v>
      </c>
      <c r="G20" s="321">
        <v>1.7899999999999999E-2</v>
      </c>
      <c r="I20" s="320">
        <v>17</v>
      </c>
      <c r="J20" s="319" t="s">
        <v>472</v>
      </c>
      <c r="K20" s="319" t="s">
        <v>871</v>
      </c>
      <c r="L20" s="320" t="s">
        <v>890</v>
      </c>
      <c r="M20" s="320" t="s">
        <v>906</v>
      </c>
      <c r="N20" s="320">
        <v>5.9999999999999995E-4</v>
      </c>
      <c r="P20" s="320">
        <v>17</v>
      </c>
      <c r="Q20" s="319" t="s">
        <v>472</v>
      </c>
      <c r="R20" s="319" t="s">
        <v>851</v>
      </c>
      <c r="S20" s="320" t="s">
        <v>921</v>
      </c>
      <c r="T20" s="320" t="s">
        <v>864</v>
      </c>
      <c r="U20" s="320">
        <v>1</v>
      </c>
    </row>
    <row r="21" spans="2:21">
      <c r="B21" s="1">
        <v>18</v>
      </c>
      <c r="C21" s="319" t="s">
        <v>472</v>
      </c>
      <c r="D21" s="319" t="s">
        <v>871</v>
      </c>
      <c r="E21" s="320" t="s">
        <v>890</v>
      </c>
      <c r="F21" s="320" t="s">
        <v>904</v>
      </c>
      <c r="G21" s="321">
        <v>2.8999999999999998E-3</v>
      </c>
      <c r="I21" s="320">
        <v>18</v>
      </c>
      <c r="J21" s="319" t="s">
        <v>909</v>
      </c>
      <c r="K21" s="319" t="s">
        <v>857</v>
      </c>
      <c r="L21" s="320" t="s">
        <v>910</v>
      </c>
      <c r="M21" s="320" t="s">
        <v>922</v>
      </c>
      <c r="N21" s="320">
        <v>0.19009999999999999</v>
      </c>
      <c r="P21" s="320">
        <v>18</v>
      </c>
      <c r="Q21" s="319" t="s">
        <v>472</v>
      </c>
      <c r="R21" s="319" t="s">
        <v>851</v>
      </c>
      <c r="S21" s="320" t="s">
        <v>923</v>
      </c>
      <c r="T21" s="320" t="s">
        <v>924</v>
      </c>
      <c r="U21" s="320">
        <v>1</v>
      </c>
    </row>
    <row r="22" spans="2:21">
      <c r="B22" s="1">
        <v>19</v>
      </c>
      <c r="C22" s="319" t="s">
        <v>472</v>
      </c>
      <c r="D22" s="319" t="s">
        <v>871</v>
      </c>
      <c r="E22" s="320" t="s">
        <v>890</v>
      </c>
      <c r="F22" s="320" t="s">
        <v>877</v>
      </c>
      <c r="G22" s="321">
        <v>2.9999999999999997E-4</v>
      </c>
      <c r="I22" s="320">
        <v>19</v>
      </c>
      <c r="J22" s="319" t="s">
        <v>909</v>
      </c>
      <c r="K22" s="319" t="s">
        <v>857</v>
      </c>
      <c r="L22" s="320" t="s">
        <v>914</v>
      </c>
      <c r="M22" s="320" t="s">
        <v>925</v>
      </c>
      <c r="N22" s="320">
        <v>0.65310000000000001</v>
      </c>
      <c r="P22" s="320">
        <v>19</v>
      </c>
      <c r="Q22" s="319" t="s">
        <v>472</v>
      </c>
      <c r="R22" s="319" t="s">
        <v>851</v>
      </c>
      <c r="S22" s="320" t="s">
        <v>923</v>
      </c>
      <c r="T22" s="320" t="s">
        <v>926</v>
      </c>
      <c r="U22" s="320">
        <v>1</v>
      </c>
    </row>
    <row r="23" spans="2:21">
      <c r="B23" s="1">
        <v>20</v>
      </c>
      <c r="C23" s="319" t="s">
        <v>472</v>
      </c>
      <c r="D23" s="319" t="s">
        <v>871</v>
      </c>
      <c r="E23" s="320" t="s">
        <v>890</v>
      </c>
      <c r="F23" s="320" t="s">
        <v>906</v>
      </c>
      <c r="G23" s="321">
        <v>2.0000000000000001E-4</v>
      </c>
      <c r="I23" s="320">
        <v>20</v>
      </c>
      <c r="J23" s="319" t="s">
        <v>867</v>
      </c>
      <c r="K23" s="319" t="s">
        <v>917</v>
      </c>
      <c r="L23" s="320" t="s">
        <v>918</v>
      </c>
      <c r="M23" s="320" t="s">
        <v>927</v>
      </c>
      <c r="N23" s="320">
        <v>0.64470000000000005</v>
      </c>
      <c r="P23" s="320">
        <v>20</v>
      </c>
      <c r="Q23" s="319" t="s">
        <v>472</v>
      </c>
      <c r="R23" s="319" t="s">
        <v>851</v>
      </c>
      <c r="S23" s="320" t="s">
        <v>923</v>
      </c>
      <c r="T23" s="320" t="s">
        <v>928</v>
      </c>
      <c r="U23" s="320">
        <v>1</v>
      </c>
    </row>
    <row r="24" spans="2:21">
      <c r="B24" s="1">
        <v>21</v>
      </c>
      <c r="C24" s="319" t="s">
        <v>909</v>
      </c>
      <c r="D24" s="319" t="s">
        <v>871</v>
      </c>
      <c r="E24" s="320" t="s">
        <v>910</v>
      </c>
      <c r="F24" s="320" t="s">
        <v>929</v>
      </c>
      <c r="G24" s="321">
        <v>6.4999999999999997E-3</v>
      </c>
      <c r="I24" s="320">
        <v>21</v>
      </c>
      <c r="J24" s="319" t="s">
        <v>472</v>
      </c>
      <c r="K24" s="319" t="s">
        <v>851</v>
      </c>
      <c r="L24" s="320" t="s">
        <v>921</v>
      </c>
      <c r="M24" s="320" t="s">
        <v>930</v>
      </c>
      <c r="N24" s="320">
        <v>0.88260000000000005</v>
      </c>
      <c r="P24" s="320">
        <v>21</v>
      </c>
      <c r="Q24" s="319" t="s">
        <v>472</v>
      </c>
      <c r="R24" s="319" t="s">
        <v>851</v>
      </c>
      <c r="S24" s="320" t="s">
        <v>923</v>
      </c>
      <c r="T24" s="320" t="s">
        <v>931</v>
      </c>
      <c r="U24" s="320">
        <v>0.94650000000000001</v>
      </c>
    </row>
    <row r="25" spans="2:21">
      <c r="B25" s="1">
        <v>22</v>
      </c>
      <c r="C25" s="319" t="s">
        <v>909</v>
      </c>
      <c r="D25" s="319" t="s">
        <v>871</v>
      </c>
      <c r="E25" s="320" t="s">
        <v>914</v>
      </c>
      <c r="F25" s="320" t="s">
        <v>932</v>
      </c>
      <c r="G25" s="321">
        <v>0.12379999999999999</v>
      </c>
      <c r="I25" s="320">
        <v>22</v>
      </c>
      <c r="J25" s="319" t="s">
        <v>472</v>
      </c>
      <c r="K25" s="319" t="s">
        <v>851</v>
      </c>
      <c r="L25" s="320" t="s">
        <v>923</v>
      </c>
      <c r="M25" s="320" t="s">
        <v>933</v>
      </c>
      <c r="N25" s="320">
        <v>0.88029999999999997</v>
      </c>
      <c r="P25" s="320">
        <v>22</v>
      </c>
      <c r="Q25" s="319" t="s">
        <v>870</v>
      </c>
      <c r="R25" s="319" t="s">
        <v>857</v>
      </c>
      <c r="S25" s="320" t="s">
        <v>934</v>
      </c>
      <c r="T25" s="320" t="s">
        <v>935</v>
      </c>
      <c r="U25" s="320">
        <v>0.69820000000000004</v>
      </c>
    </row>
    <row r="26" spans="2:21">
      <c r="B26" s="1">
        <v>23</v>
      </c>
      <c r="C26" s="319" t="s">
        <v>472</v>
      </c>
      <c r="D26" s="319" t="s">
        <v>851</v>
      </c>
      <c r="E26" s="320" t="s">
        <v>936</v>
      </c>
      <c r="F26" s="320" t="s">
        <v>937</v>
      </c>
      <c r="G26" s="321">
        <v>0.17710000000000001</v>
      </c>
      <c r="I26" s="320">
        <v>23</v>
      </c>
      <c r="J26" s="319" t="s">
        <v>472</v>
      </c>
      <c r="K26" s="319" t="s">
        <v>851</v>
      </c>
      <c r="L26" s="320" t="s">
        <v>923</v>
      </c>
      <c r="M26" s="320" t="s">
        <v>938</v>
      </c>
      <c r="N26" s="320">
        <v>0.77110000000000001</v>
      </c>
      <c r="P26" s="320">
        <v>23</v>
      </c>
      <c r="Q26" s="319" t="s">
        <v>472</v>
      </c>
      <c r="R26" s="319" t="s">
        <v>851</v>
      </c>
      <c r="S26" s="320" t="s">
        <v>939</v>
      </c>
      <c r="T26" s="320" t="s">
        <v>940</v>
      </c>
      <c r="U26" s="320">
        <v>1</v>
      </c>
    </row>
    <row r="27" spans="2:21">
      <c r="B27" s="1">
        <v>24</v>
      </c>
      <c r="C27" s="319" t="s">
        <v>867</v>
      </c>
      <c r="D27" s="319" t="s">
        <v>851</v>
      </c>
      <c r="E27" s="320" t="s">
        <v>918</v>
      </c>
      <c r="F27" s="320" t="s">
        <v>941</v>
      </c>
      <c r="G27" s="321">
        <v>0.15690000000000001</v>
      </c>
      <c r="I27" s="320">
        <v>24</v>
      </c>
      <c r="J27" s="319" t="s">
        <v>472</v>
      </c>
      <c r="K27" s="319" t="s">
        <v>851</v>
      </c>
      <c r="L27" s="320" t="s">
        <v>923</v>
      </c>
      <c r="M27" s="320" t="s">
        <v>942</v>
      </c>
      <c r="N27" s="320">
        <v>0.6492</v>
      </c>
      <c r="P27" s="320">
        <v>24</v>
      </c>
      <c r="Q27" s="319" t="s">
        <v>472</v>
      </c>
      <c r="R27" s="319" t="s">
        <v>861</v>
      </c>
      <c r="S27" s="320" t="s">
        <v>943</v>
      </c>
      <c r="T27" s="320" t="s">
        <v>944</v>
      </c>
      <c r="U27" s="320">
        <v>0.32550000000000001</v>
      </c>
    </row>
    <row r="28" spans="2:21">
      <c r="B28" s="1">
        <v>25</v>
      </c>
      <c r="C28" s="319" t="s">
        <v>472</v>
      </c>
      <c r="D28" s="319" t="s">
        <v>851</v>
      </c>
      <c r="E28" s="320" t="s">
        <v>921</v>
      </c>
      <c r="F28" s="320" t="s">
        <v>945</v>
      </c>
      <c r="G28" s="321">
        <v>6.1999999999999998E-3</v>
      </c>
      <c r="I28" s="320">
        <v>25</v>
      </c>
      <c r="J28" s="319" t="s">
        <v>472</v>
      </c>
      <c r="K28" s="319" t="s">
        <v>851</v>
      </c>
      <c r="L28" s="320" t="s">
        <v>923</v>
      </c>
      <c r="M28" s="320" t="s">
        <v>946</v>
      </c>
      <c r="N28" s="320">
        <v>0.46610000000000001</v>
      </c>
      <c r="P28" s="320">
        <v>25</v>
      </c>
      <c r="Q28" s="319" t="s">
        <v>472</v>
      </c>
      <c r="R28" s="319" t="s">
        <v>861</v>
      </c>
      <c r="S28" s="320" t="s">
        <v>943</v>
      </c>
      <c r="T28" s="320" t="s">
        <v>947</v>
      </c>
      <c r="U28" s="320">
        <v>0.26</v>
      </c>
    </row>
    <row r="29" spans="2:21">
      <c r="B29" s="1">
        <v>26</v>
      </c>
      <c r="C29" s="319" t="s">
        <v>472</v>
      </c>
      <c r="D29" s="319" t="s">
        <v>851</v>
      </c>
      <c r="E29" s="320" t="s">
        <v>923</v>
      </c>
      <c r="F29" s="320" t="s">
        <v>948</v>
      </c>
      <c r="G29" s="321">
        <v>2.9000000000000001E-2</v>
      </c>
      <c r="I29" s="320">
        <v>26</v>
      </c>
      <c r="J29" s="319" t="s">
        <v>870</v>
      </c>
      <c r="K29" s="319" t="s">
        <v>857</v>
      </c>
      <c r="L29" s="320" t="s">
        <v>934</v>
      </c>
      <c r="M29" s="320" t="s">
        <v>935</v>
      </c>
      <c r="N29" s="320">
        <v>0.16739999999999999</v>
      </c>
      <c r="P29" s="320">
        <v>26</v>
      </c>
      <c r="Q29" s="319" t="s">
        <v>472</v>
      </c>
      <c r="R29" s="319" t="s">
        <v>861</v>
      </c>
      <c r="S29" s="320" t="s">
        <v>949</v>
      </c>
      <c r="T29" s="320" t="s">
        <v>950</v>
      </c>
      <c r="U29" s="320">
        <v>0.7268</v>
      </c>
    </row>
    <row r="30" spans="2:21">
      <c r="B30" s="1">
        <v>27</v>
      </c>
      <c r="C30" s="319" t="s">
        <v>472</v>
      </c>
      <c r="D30" s="319" t="s">
        <v>851</v>
      </c>
      <c r="E30" s="320" t="s">
        <v>923</v>
      </c>
      <c r="F30" s="320" t="s">
        <v>933</v>
      </c>
      <c r="G30" s="321">
        <v>2.2000000000000001E-3</v>
      </c>
      <c r="I30" s="320">
        <v>27</v>
      </c>
      <c r="J30" s="319" t="s">
        <v>472</v>
      </c>
      <c r="K30" s="319" t="s">
        <v>851</v>
      </c>
      <c r="L30" s="320" t="s">
        <v>939</v>
      </c>
      <c r="M30" s="320" t="s">
        <v>900</v>
      </c>
      <c r="N30" s="320">
        <v>0.58989999999999998</v>
      </c>
      <c r="P30" s="320">
        <v>27</v>
      </c>
      <c r="Q30" s="319" t="s">
        <v>472</v>
      </c>
      <c r="R30" s="319" t="s">
        <v>861</v>
      </c>
      <c r="S30" s="320" t="s">
        <v>949</v>
      </c>
      <c r="T30" s="320" t="s">
        <v>951</v>
      </c>
      <c r="U30" s="320">
        <v>0.56889999999999996</v>
      </c>
    </row>
    <row r="31" spans="2:21">
      <c r="B31" s="1">
        <v>28</v>
      </c>
      <c r="C31" s="319" t="s">
        <v>472</v>
      </c>
      <c r="D31" s="319" t="s">
        <v>851</v>
      </c>
      <c r="E31" s="320" t="s">
        <v>923</v>
      </c>
      <c r="F31" s="320" t="s">
        <v>952</v>
      </c>
      <c r="G31" s="321">
        <v>2.0000000000000001E-4</v>
      </c>
      <c r="I31" s="320">
        <v>28</v>
      </c>
      <c r="J31" s="319" t="s">
        <v>472</v>
      </c>
      <c r="K31" s="319" t="s">
        <v>861</v>
      </c>
      <c r="L31" s="320" t="s">
        <v>943</v>
      </c>
      <c r="M31" s="320" t="s">
        <v>944</v>
      </c>
      <c r="N31" s="320">
        <v>2.0000000000000001E-4</v>
      </c>
      <c r="P31" s="320">
        <v>28</v>
      </c>
      <c r="Q31" s="319" t="s">
        <v>472</v>
      </c>
      <c r="R31" s="319" t="s">
        <v>871</v>
      </c>
      <c r="S31" s="320" t="s">
        <v>953</v>
      </c>
      <c r="T31" s="320" t="s">
        <v>954</v>
      </c>
      <c r="U31" s="320">
        <v>1.5599999999999999E-2</v>
      </c>
    </row>
    <row r="32" spans="2:21">
      <c r="B32" s="1">
        <v>29</v>
      </c>
      <c r="C32" s="319" t="s">
        <v>472</v>
      </c>
      <c r="D32" s="319" t="s">
        <v>851</v>
      </c>
      <c r="E32" s="320" t="s">
        <v>923</v>
      </c>
      <c r="F32" s="320" t="s">
        <v>907</v>
      </c>
      <c r="G32" s="321">
        <v>0</v>
      </c>
      <c r="I32" s="320">
        <v>29</v>
      </c>
      <c r="J32" s="319" t="s">
        <v>472</v>
      </c>
      <c r="K32" s="319" t="s">
        <v>861</v>
      </c>
      <c r="L32" s="320" t="s">
        <v>943</v>
      </c>
      <c r="M32" s="320" t="s">
        <v>947</v>
      </c>
      <c r="N32" s="320">
        <v>2.0000000000000001E-4</v>
      </c>
      <c r="P32" s="320">
        <v>29</v>
      </c>
      <c r="Q32" s="319" t="s">
        <v>472</v>
      </c>
      <c r="R32" s="319" t="s">
        <v>871</v>
      </c>
      <c r="S32" s="320" t="s">
        <v>953</v>
      </c>
      <c r="T32" s="320" t="s">
        <v>955</v>
      </c>
      <c r="U32" s="320">
        <v>2.0000000000000001E-4</v>
      </c>
    </row>
    <row r="33" spans="2:21">
      <c r="B33" s="1">
        <v>30</v>
      </c>
      <c r="C33" s="319" t="s">
        <v>870</v>
      </c>
      <c r="D33" s="319" t="s">
        <v>857</v>
      </c>
      <c r="E33" s="320" t="s">
        <v>934</v>
      </c>
      <c r="F33" s="320" t="s">
        <v>956</v>
      </c>
      <c r="G33" s="321">
        <v>3.3399999999999999E-2</v>
      </c>
      <c r="I33" s="320">
        <v>30</v>
      </c>
      <c r="J33" s="319" t="s">
        <v>472</v>
      </c>
      <c r="K33" s="319" t="s">
        <v>861</v>
      </c>
      <c r="L33" s="320" t="s">
        <v>949</v>
      </c>
      <c r="M33" s="320" t="s">
        <v>877</v>
      </c>
      <c r="N33" s="320">
        <v>6.0000000000000001E-3</v>
      </c>
      <c r="P33" s="320">
        <v>30</v>
      </c>
      <c r="Q33" s="319" t="s">
        <v>472</v>
      </c>
      <c r="R33" s="319" t="s">
        <v>851</v>
      </c>
      <c r="S33" s="320" t="s">
        <v>957</v>
      </c>
      <c r="T33" s="320" t="s">
        <v>958</v>
      </c>
      <c r="U33" s="320">
        <v>2.0000000000000001E-4</v>
      </c>
    </row>
    <row r="34" spans="2:21">
      <c r="B34" s="1">
        <v>31</v>
      </c>
      <c r="C34" s="319" t="s">
        <v>472</v>
      </c>
      <c r="D34" s="319" t="s">
        <v>851</v>
      </c>
      <c r="E34" s="320" t="s">
        <v>939</v>
      </c>
      <c r="F34" s="320" t="s">
        <v>959</v>
      </c>
      <c r="G34" s="321">
        <v>2.8E-3</v>
      </c>
      <c r="I34" s="320">
        <v>31</v>
      </c>
      <c r="J34" s="319" t="s">
        <v>472</v>
      </c>
      <c r="K34" s="319" t="s">
        <v>861</v>
      </c>
      <c r="L34" s="320" t="s">
        <v>949</v>
      </c>
      <c r="M34" s="320" t="s">
        <v>951</v>
      </c>
      <c r="N34" s="320">
        <v>3.8E-3</v>
      </c>
      <c r="P34" s="320">
        <v>31</v>
      </c>
      <c r="Q34" s="319" t="s">
        <v>472</v>
      </c>
      <c r="R34" s="319" t="s">
        <v>861</v>
      </c>
      <c r="S34" s="320" t="s">
        <v>960</v>
      </c>
      <c r="T34" s="320" t="s">
        <v>961</v>
      </c>
      <c r="U34" s="320">
        <v>1E-4</v>
      </c>
    </row>
    <row r="35" spans="2:21">
      <c r="B35" s="1">
        <v>32</v>
      </c>
      <c r="C35" s="319" t="s">
        <v>472</v>
      </c>
      <c r="D35" s="319" t="s">
        <v>861</v>
      </c>
      <c r="E35" s="320" t="s">
        <v>943</v>
      </c>
      <c r="F35" s="320" t="s">
        <v>944</v>
      </c>
      <c r="G35" s="321">
        <v>1E-4</v>
      </c>
      <c r="I35" s="320">
        <v>32</v>
      </c>
      <c r="J35" s="319" t="s">
        <v>472</v>
      </c>
      <c r="K35" s="319" t="s">
        <v>871</v>
      </c>
      <c r="L35" s="320" t="s">
        <v>953</v>
      </c>
      <c r="M35" s="320" t="s">
        <v>962</v>
      </c>
      <c r="N35" s="320">
        <v>2.0000000000000001E-4</v>
      </c>
      <c r="P35" s="320">
        <v>32</v>
      </c>
      <c r="Q35" s="319" t="s">
        <v>472</v>
      </c>
      <c r="R35" s="319" t="s">
        <v>871</v>
      </c>
      <c r="S35" s="320" t="s">
        <v>963</v>
      </c>
      <c r="T35" s="320" t="s">
        <v>944</v>
      </c>
      <c r="U35" s="320">
        <v>0.29649999999999999</v>
      </c>
    </row>
    <row r="36" spans="2:21">
      <c r="B36" s="1">
        <v>33</v>
      </c>
      <c r="C36" s="319" t="s">
        <v>472</v>
      </c>
      <c r="D36" s="319" t="s">
        <v>861</v>
      </c>
      <c r="E36" s="320" t="s">
        <v>943</v>
      </c>
      <c r="F36" s="320" t="s">
        <v>947</v>
      </c>
      <c r="G36" s="321">
        <v>1E-4</v>
      </c>
      <c r="I36" s="320">
        <v>33</v>
      </c>
      <c r="J36" s="319" t="s">
        <v>472</v>
      </c>
      <c r="K36" s="319" t="s">
        <v>871</v>
      </c>
      <c r="L36" s="320" t="s">
        <v>953</v>
      </c>
      <c r="M36" s="320" t="s">
        <v>964</v>
      </c>
      <c r="N36" s="320">
        <v>0</v>
      </c>
      <c r="P36" s="320">
        <v>33</v>
      </c>
      <c r="Q36" s="319" t="s">
        <v>472</v>
      </c>
      <c r="R36" s="319" t="s">
        <v>871</v>
      </c>
      <c r="S36" s="320" t="s">
        <v>963</v>
      </c>
      <c r="T36" s="320" t="s">
        <v>965</v>
      </c>
      <c r="U36" s="320">
        <v>0.18459999999999999</v>
      </c>
    </row>
    <row r="37" spans="2:21">
      <c r="B37" s="1">
        <v>34</v>
      </c>
      <c r="C37" s="319" t="s">
        <v>966</v>
      </c>
      <c r="D37" s="319" t="s">
        <v>861</v>
      </c>
      <c r="E37" s="320" t="s">
        <v>967</v>
      </c>
      <c r="F37" s="320" t="s">
        <v>968</v>
      </c>
      <c r="G37" s="321">
        <v>1E-3</v>
      </c>
      <c r="I37" s="320">
        <v>34</v>
      </c>
      <c r="J37" s="319" t="s">
        <v>472</v>
      </c>
      <c r="K37" s="319" t="s">
        <v>851</v>
      </c>
      <c r="L37" s="320" t="s">
        <v>957</v>
      </c>
      <c r="M37" s="320" t="s">
        <v>969</v>
      </c>
      <c r="N37" s="320">
        <v>0</v>
      </c>
      <c r="P37" s="320">
        <v>34</v>
      </c>
      <c r="Q37" s="319" t="s">
        <v>472</v>
      </c>
      <c r="R37" s="319" t="s">
        <v>871</v>
      </c>
      <c r="S37" s="320" t="s">
        <v>970</v>
      </c>
      <c r="T37" s="320" t="s">
        <v>971</v>
      </c>
      <c r="U37" s="320">
        <v>0.71179999999999999</v>
      </c>
    </row>
    <row r="38" spans="2:21">
      <c r="B38" s="1">
        <v>35</v>
      </c>
      <c r="C38" s="319" t="s">
        <v>966</v>
      </c>
      <c r="D38" s="319" t="s">
        <v>861</v>
      </c>
      <c r="E38" s="320" t="s">
        <v>967</v>
      </c>
      <c r="F38" s="320" t="s">
        <v>972</v>
      </c>
      <c r="G38" s="321">
        <v>0</v>
      </c>
      <c r="I38" s="320">
        <v>35</v>
      </c>
      <c r="J38" s="319" t="s">
        <v>472</v>
      </c>
      <c r="K38" s="319" t="s">
        <v>861</v>
      </c>
      <c r="L38" s="320" t="s">
        <v>960</v>
      </c>
      <c r="M38" s="320" t="s">
        <v>973</v>
      </c>
      <c r="N38" s="320">
        <v>0</v>
      </c>
      <c r="P38" s="320">
        <v>35</v>
      </c>
      <c r="Q38" s="319" t="s">
        <v>472</v>
      </c>
      <c r="R38" s="319" t="s">
        <v>871</v>
      </c>
      <c r="S38" s="320" t="s">
        <v>970</v>
      </c>
      <c r="T38" s="320" t="s">
        <v>974</v>
      </c>
      <c r="U38" s="320">
        <v>0.63500000000000001</v>
      </c>
    </row>
    <row r="39" spans="2:21">
      <c r="B39" s="1">
        <v>36</v>
      </c>
      <c r="C39" s="319" t="s">
        <v>966</v>
      </c>
      <c r="D39" s="319" t="s">
        <v>861</v>
      </c>
      <c r="E39" s="320" t="s">
        <v>967</v>
      </c>
      <c r="F39" s="320" t="s">
        <v>975</v>
      </c>
      <c r="G39" s="321">
        <v>0</v>
      </c>
      <c r="I39" s="320">
        <v>36</v>
      </c>
      <c r="J39" s="319" t="s">
        <v>472</v>
      </c>
      <c r="K39" s="319" t="s">
        <v>871</v>
      </c>
      <c r="L39" s="320" t="s">
        <v>963</v>
      </c>
      <c r="M39" s="320" t="s">
        <v>944</v>
      </c>
      <c r="N39" s="320">
        <v>1E-4</v>
      </c>
      <c r="P39" s="320">
        <v>36</v>
      </c>
      <c r="Q39" s="319" t="s">
        <v>472</v>
      </c>
      <c r="R39" s="319" t="s">
        <v>871</v>
      </c>
      <c r="S39" s="320" t="s">
        <v>970</v>
      </c>
      <c r="T39" s="320" t="s">
        <v>976</v>
      </c>
      <c r="U39" s="320">
        <v>0.32790000000000002</v>
      </c>
    </row>
    <row r="40" spans="2:21">
      <c r="B40" s="1">
        <v>37</v>
      </c>
      <c r="C40" s="319" t="s">
        <v>966</v>
      </c>
      <c r="D40" s="319" t="s">
        <v>861</v>
      </c>
      <c r="E40" s="320" t="s">
        <v>967</v>
      </c>
      <c r="F40" s="320" t="s">
        <v>977</v>
      </c>
      <c r="G40" s="321">
        <v>0</v>
      </c>
      <c r="I40" s="320">
        <v>37</v>
      </c>
      <c r="J40" s="319" t="s">
        <v>472</v>
      </c>
      <c r="K40" s="319" t="s">
        <v>871</v>
      </c>
      <c r="L40" s="320" t="s">
        <v>963</v>
      </c>
      <c r="M40" s="320" t="s">
        <v>965</v>
      </c>
      <c r="N40" s="320">
        <v>0</v>
      </c>
      <c r="P40" s="320">
        <v>37</v>
      </c>
      <c r="Q40" s="319" t="s">
        <v>472</v>
      </c>
      <c r="R40" s="319" t="s">
        <v>851</v>
      </c>
      <c r="S40" s="320" t="s">
        <v>978</v>
      </c>
      <c r="T40" s="320" t="s">
        <v>979</v>
      </c>
      <c r="U40" s="320">
        <v>0.6845</v>
      </c>
    </row>
    <row r="41" spans="2:21">
      <c r="B41" s="1">
        <v>38</v>
      </c>
      <c r="C41" s="319" t="s">
        <v>966</v>
      </c>
      <c r="D41" s="319" t="s">
        <v>861</v>
      </c>
      <c r="E41" s="320" t="s">
        <v>967</v>
      </c>
      <c r="F41" s="320" t="s">
        <v>980</v>
      </c>
      <c r="G41" s="321">
        <v>0</v>
      </c>
      <c r="I41" s="320">
        <v>38</v>
      </c>
      <c r="J41" s="319" t="s">
        <v>472</v>
      </c>
      <c r="K41" s="319" t="s">
        <v>871</v>
      </c>
      <c r="L41" s="320" t="s">
        <v>970</v>
      </c>
      <c r="M41" s="320" t="s">
        <v>981</v>
      </c>
      <c r="N41" s="320">
        <v>2.2499999999999999E-2</v>
      </c>
      <c r="P41" s="320">
        <v>38</v>
      </c>
      <c r="Q41" s="319" t="s">
        <v>472</v>
      </c>
      <c r="R41" s="319" t="s">
        <v>851</v>
      </c>
      <c r="S41" s="320" t="s">
        <v>978</v>
      </c>
      <c r="T41" s="320" t="s">
        <v>982</v>
      </c>
      <c r="U41" s="320">
        <v>8.1000000000000003E-2</v>
      </c>
    </row>
    <row r="42" spans="2:21">
      <c r="B42" s="1">
        <v>39</v>
      </c>
      <c r="C42" s="319" t="s">
        <v>966</v>
      </c>
      <c r="D42" s="319" t="s">
        <v>861</v>
      </c>
      <c r="E42" s="320" t="s">
        <v>967</v>
      </c>
      <c r="F42" s="320" t="s">
        <v>983</v>
      </c>
      <c r="G42" s="321">
        <v>0</v>
      </c>
      <c r="I42" s="320">
        <v>39</v>
      </c>
      <c r="J42" s="319" t="s">
        <v>472</v>
      </c>
      <c r="K42" s="319" t="s">
        <v>871</v>
      </c>
      <c r="L42" s="320" t="s">
        <v>970</v>
      </c>
      <c r="M42" s="320" t="s">
        <v>984</v>
      </c>
      <c r="N42" s="320">
        <v>1E-4</v>
      </c>
      <c r="P42" s="320">
        <v>39</v>
      </c>
      <c r="Q42" s="319" t="s">
        <v>472</v>
      </c>
      <c r="R42" s="319" t="s">
        <v>851</v>
      </c>
      <c r="S42" s="320" t="s">
        <v>985</v>
      </c>
      <c r="T42" s="320" t="s">
        <v>986</v>
      </c>
      <c r="U42" s="320">
        <v>1</v>
      </c>
    </row>
    <row r="43" spans="2:21">
      <c r="B43" s="1">
        <v>40</v>
      </c>
      <c r="C43" s="319" t="s">
        <v>472</v>
      </c>
      <c r="D43" s="319" t="s">
        <v>861</v>
      </c>
      <c r="E43" s="320" t="s">
        <v>949</v>
      </c>
      <c r="F43" s="320" t="s">
        <v>877</v>
      </c>
      <c r="G43" s="321">
        <v>4.0000000000000002E-4</v>
      </c>
      <c r="I43" s="320">
        <v>40</v>
      </c>
      <c r="J43" s="319" t="s">
        <v>472</v>
      </c>
      <c r="K43" s="319" t="s">
        <v>871</v>
      </c>
      <c r="L43" s="320" t="s">
        <v>970</v>
      </c>
      <c r="M43" s="320" t="s">
        <v>976</v>
      </c>
      <c r="N43" s="320">
        <v>0</v>
      </c>
      <c r="P43" s="320">
        <v>40</v>
      </c>
      <c r="Q43" s="319" t="s">
        <v>472</v>
      </c>
      <c r="R43" s="319" t="s">
        <v>851</v>
      </c>
      <c r="S43" s="320" t="s">
        <v>985</v>
      </c>
      <c r="T43" s="320" t="s">
        <v>987</v>
      </c>
      <c r="U43" s="320">
        <v>0.98280000000000001</v>
      </c>
    </row>
    <row r="44" spans="2:21">
      <c r="B44" s="1">
        <v>41</v>
      </c>
      <c r="C44" s="319" t="s">
        <v>472</v>
      </c>
      <c r="D44" s="319" t="s">
        <v>861</v>
      </c>
      <c r="E44" s="320" t="s">
        <v>949</v>
      </c>
      <c r="F44" s="320" t="s">
        <v>951</v>
      </c>
      <c r="G44" s="321">
        <v>1E-4</v>
      </c>
      <c r="I44" s="320">
        <v>41</v>
      </c>
      <c r="J44" s="319" t="s">
        <v>472</v>
      </c>
      <c r="K44" s="319" t="s">
        <v>851</v>
      </c>
      <c r="L44" s="320" t="s">
        <v>978</v>
      </c>
      <c r="M44" s="320" t="s">
        <v>988</v>
      </c>
      <c r="N44" s="320">
        <v>1.21E-2</v>
      </c>
      <c r="P44" s="320">
        <v>41</v>
      </c>
      <c r="Q44" s="319" t="s">
        <v>472</v>
      </c>
      <c r="R44" s="319" t="s">
        <v>851</v>
      </c>
      <c r="S44" s="320" t="s">
        <v>985</v>
      </c>
      <c r="T44" s="320" t="s">
        <v>989</v>
      </c>
      <c r="U44" s="320">
        <v>0.94910000000000005</v>
      </c>
    </row>
    <row r="45" spans="2:21">
      <c r="B45" s="1">
        <v>42</v>
      </c>
      <c r="C45" s="319" t="s">
        <v>472</v>
      </c>
      <c r="D45" s="319" t="s">
        <v>871</v>
      </c>
      <c r="E45" s="320" t="s">
        <v>953</v>
      </c>
      <c r="F45" s="320" t="s">
        <v>962</v>
      </c>
      <c r="G45" s="321">
        <v>0</v>
      </c>
      <c r="I45" s="320">
        <v>42</v>
      </c>
      <c r="J45" s="319" t="s">
        <v>472</v>
      </c>
      <c r="K45" s="319" t="s">
        <v>851</v>
      </c>
      <c r="L45" s="320" t="s">
        <v>978</v>
      </c>
      <c r="M45" s="320" t="s">
        <v>982</v>
      </c>
      <c r="N45" s="320">
        <v>2.9999999999999997E-4</v>
      </c>
      <c r="P45" s="320">
        <v>42</v>
      </c>
      <c r="Q45" s="319" t="s">
        <v>472</v>
      </c>
      <c r="R45" s="319" t="s">
        <v>851</v>
      </c>
      <c r="S45" s="320" t="s">
        <v>985</v>
      </c>
      <c r="T45" s="320" t="s">
        <v>941</v>
      </c>
      <c r="U45" s="320">
        <v>0.92820000000000003</v>
      </c>
    </row>
    <row r="46" spans="2:21">
      <c r="B46" s="1">
        <v>43</v>
      </c>
      <c r="C46" s="319" t="s">
        <v>472</v>
      </c>
      <c r="D46" s="319" t="s">
        <v>871</v>
      </c>
      <c r="E46" s="320" t="s">
        <v>953</v>
      </c>
      <c r="F46" s="320" t="s">
        <v>964</v>
      </c>
      <c r="G46" s="321">
        <v>0</v>
      </c>
      <c r="I46" s="320">
        <v>43</v>
      </c>
      <c r="J46" s="319" t="s">
        <v>472</v>
      </c>
      <c r="K46" s="319" t="s">
        <v>851</v>
      </c>
      <c r="L46" s="320" t="s">
        <v>985</v>
      </c>
      <c r="M46" s="320" t="s">
        <v>986</v>
      </c>
      <c r="N46" s="320">
        <v>0.33489999999999998</v>
      </c>
      <c r="P46" s="320">
        <v>43</v>
      </c>
      <c r="Q46" s="319" t="s">
        <v>472</v>
      </c>
      <c r="R46" s="319" t="s">
        <v>861</v>
      </c>
      <c r="S46" s="320" t="s">
        <v>990</v>
      </c>
      <c r="T46" s="320" t="s">
        <v>991</v>
      </c>
      <c r="U46" s="320">
        <v>2.8500000000000001E-2</v>
      </c>
    </row>
    <row r="47" spans="2:21">
      <c r="B47" s="1">
        <v>44</v>
      </c>
      <c r="C47" s="319" t="s">
        <v>472</v>
      </c>
      <c r="D47" s="319" t="s">
        <v>851</v>
      </c>
      <c r="E47" s="320" t="s">
        <v>957</v>
      </c>
      <c r="F47" s="320" t="s">
        <v>969</v>
      </c>
      <c r="G47" s="321">
        <v>0</v>
      </c>
      <c r="I47" s="320">
        <v>44</v>
      </c>
      <c r="J47" s="319" t="s">
        <v>472</v>
      </c>
      <c r="K47" s="319" t="s">
        <v>851</v>
      </c>
      <c r="L47" s="320" t="s">
        <v>985</v>
      </c>
      <c r="M47" s="320" t="s">
        <v>986</v>
      </c>
      <c r="N47" s="320">
        <v>0.29609999999999997</v>
      </c>
      <c r="P47" s="320">
        <v>44</v>
      </c>
      <c r="Q47" s="319" t="s">
        <v>472</v>
      </c>
      <c r="R47" s="319" t="s">
        <v>861</v>
      </c>
      <c r="S47" s="320" t="s">
        <v>990</v>
      </c>
      <c r="T47" s="320" t="s">
        <v>992</v>
      </c>
      <c r="U47" s="320">
        <v>1.52E-2</v>
      </c>
    </row>
    <row r="48" spans="2:21">
      <c r="B48" s="1">
        <v>45</v>
      </c>
      <c r="C48" s="319" t="s">
        <v>472</v>
      </c>
      <c r="D48" s="319" t="s">
        <v>861</v>
      </c>
      <c r="E48" s="320" t="s">
        <v>960</v>
      </c>
      <c r="F48" s="320" t="s">
        <v>973</v>
      </c>
      <c r="G48" s="321">
        <v>0</v>
      </c>
      <c r="I48" s="320">
        <v>45</v>
      </c>
      <c r="J48" s="319" t="s">
        <v>472</v>
      </c>
      <c r="K48" s="319" t="s">
        <v>851</v>
      </c>
      <c r="L48" s="320" t="s">
        <v>985</v>
      </c>
      <c r="M48" s="320" t="s">
        <v>880</v>
      </c>
      <c r="N48" s="320">
        <v>0.184</v>
      </c>
      <c r="P48" s="320">
        <v>45</v>
      </c>
      <c r="Q48" s="319" t="s">
        <v>472</v>
      </c>
      <c r="R48" s="319" t="s">
        <v>851</v>
      </c>
      <c r="S48" s="320" t="s">
        <v>993</v>
      </c>
      <c r="T48" s="320" t="s">
        <v>994</v>
      </c>
      <c r="U48" s="320">
        <v>8.0000000000000002E-3</v>
      </c>
    </row>
    <row r="49" spans="2:21">
      <c r="B49" s="1">
        <v>46</v>
      </c>
      <c r="C49" s="319" t="s">
        <v>472</v>
      </c>
      <c r="D49" s="319" t="s">
        <v>871</v>
      </c>
      <c r="E49" s="320" t="s">
        <v>963</v>
      </c>
      <c r="F49" s="320" t="s">
        <v>944</v>
      </c>
      <c r="G49" s="321">
        <v>0</v>
      </c>
      <c r="I49" s="320">
        <v>46</v>
      </c>
      <c r="J49" s="319" t="s">
        <v>472</v>
      </c>
      <c r="K49" s="319" t="s">
        <v>851</v>
      </c>
      <c r="L49" s="320" t="s">
        <v>985</v>
      </c>
      <c r="M49" s="320" t="s">
        <v>995</v>
      </c>
      <c r="N49" s="320">
        <v>7.8100000000000003E-2</v>
      </c>
      <c r="P49" s="320">
        <v>46</v>
      </c>
      <c r="Q49" s="319" t="s">
        <v>472</v>
      </c>
      <c r="R49" s="319" t="s">
        <v>861</v>
      </c>
      <c r="S49" s="320" t="s">
        <v>996</v>
      </c>
      <c r="T49" s="320" t="s">
        <v>982</v>
      </c>
      <c r="U49" s="320">
        <v>5.2999999999999999E-2</v>
      </c>
    </row>
    <row r="50" spans="2:21">
      <c r="B50" s="1">
        <v>47</v>
      </c>
      <c r="C50" s="319" t="s">
        <v>472</v>
      </c>
      <c r="D50" s="319" t="s">
        <v>871</v>
      </c>
      <c r="E50" s="320" t="s">
        <v>963</v>
      </c>
      <c r="F50" s="320" t="s">
        <v>965</v>
      </c>
      <c r="G50" s="321">
        <v>0</v>
      </c>
      <c r="I50" s="320">
        <v>47</v>
      </c>
      <c r="J50" s="319" t="s">
        <v>472</v>
      </c>
      <c r="K50" s="319" t="s">
        <v>861</v>
      </c>
      <c r="L50" s="320" t="s">
        <v>990</v>
      </c>
      <c r="M50" s="320" t="s">
        <v>997</v>
      </c>
      <c r="N50" s="320">
        <v>5.0000000000000001E-4</v>
      </c>
      <c r="P50" s="320">
        <v>47</v>
      </c>
      <c r="Q50" s="319" t="s">
        <v>472</v>
      </c>
      <c r="R50" s="319" t="s">
        <v>861</v>
      </c>
      <c r="S50" s="320" t="s">
        <v>996</v>
      </c>
      <c r="T50" s="320" t="s">
        <v>998</v>
      </c>
      <c r="U50" s="320">
        <v>5.5999999999999999E-3</v>
      </c>
    </row>
    <row r="51" spans="2:21">
      <c r="B51" s="1">
        <v>48</v>
      </c>
      <c r="C51" s="319" t="s">
        <v>472</v>
      </c>
      <c r="D51" s="319" t="s">
        <v>871</v>
      </c>
      <c r="E51" s="320" t="s">
        <v>970</v>
      </c>
      <c r="F51" s="320" t="s">
        <v>981</v>
      </c>
      <c r="G51" s="321">
        <v>5.0000000000000001E-4</v>
      </c>
      <c r="I51" s="320">
        <v>48</v>
      </c>
      <c r="J51" s="319" t="s">
        <v>472</v>
      </c>
      <c r="K51" s="319" t="s">
        <v>861</v>
      </c>
      <c r="L51" s="320" t="s">
        <v>990</v>
      </c>
      <c r="M51" s="320" t="s">
        <v>999</v>
      </c>
      <c r="N51" s="320">
        <v>2.9999999999999997E-4</v>
      </c>
      <c r="P51" s="320">
        <v>48</v>
      </c>
      <c r="Q51" s="319" t="s">
        <v>472</v>
      </c>
      <c r="R51" s="319" t="s">
        <v>861</v>
      </c>
      <c r="S51" s="320" t="s">
        <v>1000</v>
      </c>
      <c r="T51" s="320" t="s">
        <v>911</v>
      </c>
      <c r="U51" s="320">
        <v>0.66700000000000004</v>
      </c>
    </row>
    <row r="52" spans="2:21">
      <c r="B52" s="1">
        <v>49</v>
      </c>
      <c r="C52" s="319" t="s">
        <v>472</v>
      </c>
      <c r="D52" s="319" t="s">
        <v>871</v>
      </c>
      <c r="E52" s="320" t="s">
        <v>970</v>
      </c>
      <c r="F52" s="320" t="s">
        <v>984</v>
      </c>
      <c r="G52" s="321">
        <v>0</v>
      </c>
      <c r="I52" s="320">
        <v>49</v>
      </c>
      <c r="J52" s="319" t="s">
        <v>472</v>
      </c>
      <c r="K52" s="319" t="s">
        <v>851</v>
      </c>
      <c r="L52" s="320" t="s">
        <v>993</v>
      </c>
      <c r="M52" s="320" t="s">
        <v>1001</v>
      </c>
      <c r="N52" s="320">
        <v>2.0000000000000001E-4</v>
      </c>
      <c r="P52" s="320">
        <v>49</v>
      </c>
      <c r="Q52" s="319" t="s">
        <v>472</v>
      </c>
      <c r="R52" s="319" t="s">
        <v>861</v>
      </c>
      <c r="S52" s="320" t="s">
        <v>1000</v>
      </c>
      <c r="T52" s="320" t="s">
        <v>906</v>
      </c>
      <c r="U52" s="320">
        <v>0.58230000000000004</v>
      </c>
    </row>
    <row r="53" spans="2:21">
      <c r="B53" s="1">
        <v>50</v>
      </c>
      <c r="C53" s="319" t="s">
        <v>472</v>
      </c>
      <c r="D53" s="319" t="s">
        <v>871</v>
      </c>
      <c r="E53" s="320" t="s">
        <v>970</v>
      </c>
      <c r="F53" s="320" t="s">
        <v>976</v>
      </c>
      <c r="G53" s="321">
        <v>0</v>
      </c>
      <c r="I53" s="320">
        <v>50</v>
      </c>
      <c r="J53" s="319" t="s">
        <v>472</v>
      </c>
      <c r="K53" s="319" t="s">
        <v>861</v>
      </c>
      <c r="L53" s="320" t="s">
        <v>996</v>
      </c>
      <c r="M53" s="320" t="s">
        <v>982</v>
      </c>
      <c r="N53" s="320">
        <v>0</v>
      </c>
      <c r="P53" s="320">
        <v>50</v>
      </c>
      <c r="Q53" s="319" t="s">
        <v>472</v>
      </c>
      <c r="R53" s="319" t="s">
        <v>861</v>
      </c>
      <c r="S53" s="320" t="s">
        <v>1000</v>
      </c>
      <c r="T53" s="320" t="s">
        <v>954</v>
      </c>
      <c r="U53" s="320">
        <v>4.4000000000000003E-3</v>
      </c>
    </row>
    <row r="54" spans="2:21">
      <c r="B54" s="1">
        <v>51</v>
      </c>
      <c r="C54" s="319" t="s">
        <v>472</v>
      </c>
      <c r="D54" s="319" t="s">
        <v>851</v>
      </c>
      <c r="E54" s="320" t="s">
        <v>978</v>
      </c>
      <c r="F54" s="320" t="s">
        <v>988</v>
      </c>
      <c r="G54" s="321">
        <v>1E-4</v>
      </c>
      <c r="I54" s="320">
        <v>51</v>
      </c>
      <c r="J54" s="319" t="s">
        <v>472</v>
      </c>
      <c r="K54" s="319" t="s">
        <v>861</v>
      </c>
      <c r="L54" s="320" t="s">
        <v>996</v>
      </c>
      <c r="M54" s="320" t="s">
        <v>1002</v>
      </c>
      <c r="N54" s="320">
        <v>0</v>
      </c>
      <c r="P54" s="320">
        <v>51</v>
      </c>
      <c r="Q54" s="319" t="s">
        <v>472</v>
      </c>
      <c r="R54" s="319" t="s">
        <v>861</v>
      </c>
      <c r="S54" s="320" t="s">
        <v>1000</v>
      </c>
      <c r="T54" s="320" t="s">
        <v>1003</v>
      </c>
      <c r="U54" s="320">
        <v>3.7000000000000002E-3</v>
      </c>
    </row>
    <row r="55" spans="2:21">
      <c r="B55" s="1">
        <v>52</v>
      </c>
      <c r="C55" s="319" t="s">
        <v>472</v>
      </c>
      <c r="D55" s="319" t="s">
        <v>851</v>
      </c>
      <c r="E55" s="320" t="s">
        <v>978</v>
      </c>
      <c r="F55" s="320" t="s">
        <v>982</v>
      </c>
      <c r="G55" s="321">
        <v>0</v>
      </c>
      <c r="I55" s="320">
        <v>52</v>
      </c>
      <c r="J55" s="319" t="s">
        <v>472</v>
      </c>
      <c r="K55" s="319" t="s">
        <v>861</v>
      </c>
      <c r="L55" s="320" t="s">
        <v>1000</v>
      </c>
      <c r="M55" s="320" t="s">
        <v>988</v>
      </c>
      <c r="N55" s="320">
        <v>1.29E-2</v>
      </c>
      <c r="P55" s="320">
        <v>52</v>
      </c>
      <c r="Q55" s="319" t="s">
        <v>472</v>
      </c>
      <c r="R55" s="319" t="s">
        <v>851</v>
      </c>
      <c r="S55" s="320" t="s">
        <v>1000</v>
      </c>
      <c r="T55" s="320" t="s">
        <v>1004</v>
      </c>
      <c r="U55" s="320">
        <v>0.19919999999999999</v>
      </c>
    </row>
    <row r="56" spans="2:21">
      <c r="B56" s="1">
        <v>53</v>
      </c>
      <c r="C56" s="319" t="s">
        <v>472</v>
      </c>
      <c r="D56" s="319" t="s">
        <v>851</v>
      </c>
      <c r="E56" s="320" t="s">
        <v>985</v>
      </c>
      <c r="F56" s="320" t="s">
        <v>1005</v>
      </c>
      <c r="G56" s="321">
        <v>3.8999999999999998E-3</v>
      </c>
      <c r="I56" s="320">
        <v>53</v>
      </c>
      <c r="J56" s="319" t="s">
        <v>472</v>
      </c>
      <c r="K56" s="319" t="s">
        <v>861</v>
      </c>
      <c r="L56" s="320" t="s">
        <v>1000</v>
      </c>
      <c r="M56" s="320" t="s">
        <v>906</v>
      </c>
      <c r="N56" s="320">
        <v>4.0000000000000002E-4</v>
      </c>
      <c r="P56" s="320">
        <v>53</v>
      </c>
      <c r="Q56" s="319" t="s">
        <v>472</v>
      </c>
      <c r="R56" s="319" t="s">
        <v>851</v>
      </c>
      <c r="S56" s="320" t="s">
        <v>1000</v>
      </c>
      <c r="T56" s="320" t="s">
        <v>992</v>
      </c>
      <c r="U56" s="320">
        <v>9.4000000000000004E-3</v>
      </c>
    </row>
    <row r="57" spans="2:21">
      <c r="B57" s="1">
        <v>54</v>
      </c>
      <c r="C57" s="319" t="s">
        <v>472</v>
      </c>
      <c r="D57" s="319" t="s">
        <v>851</v>
      </c>
      <c r="E57" s="320" t="s">
        <v>985</v>
      </c>
      <c r="F57" s="320" t="s">
        <v>1005</v>
      </c>
      <c r="G57" s="321">
        <v>0</v>
      </c>
      <c r="I57" s="320">
        <v>54</v>
      </c>
      <c r="J57" s="319" t="s">
        <v>472</v>
      </c>
      <c r="K57" s="319" t="s">
        <v>861</v>
      </c>
      <c r="L57" s="320" t="s">
        <v>1000</v>
      </c>
      <c r="M57" s="320" t="s">
        <v>1002</v>
      </c>
      <c r="N57" s="320">
        <v>0</v>
      </c>
      <c r="P57" s="320">
        <v>54</v>
      </c>
      <c r="Q57" s="319" t="s">
        <v>472</v>
      </c>
      <c r="R57" s="319" t="s">
        <v>851</v>
      </c>
      <c r="S57" s="320" t="s">
        <v>1006</v>
      </c>
      <c r="T57" s="320" t="s">
        <v>1007</v>
      </c>
      <c r="U57" s="320">
        <v>0.90210000000000001</v>
      </c>
    </row>
    <row r="58" spans="2:21">
      <c r="B58" s="1">
        <v>55</v>
      </c>
      <c r="C58" s="319" t="s">
        <v>472</v>
      </c>
      <c r="D58" s="319" t="s">
        <v>851</v>
      </c>
      <c r="E58" s="320" t="s">
        <v>985</v>
      </c>
      <c r="F58" s="320" t="s">
        <v>1008</v>
      </c>
      <c r="G58" s="321">
        <v>0</v>
      </c>
      <c r="I58" s="320">
        <v>55</v>
      </c>
      <c r="J58" s="319" t="s">
        <v>472</v>
      </c>
      <c r="K58" s="319" t="s">
        <v>861</v>
      </c>
      <c r="L58" s="320" t="s">
        <v>1000</v>
      </c>
      <c r="M58" s="320" t="s">
        <v>1009</v>
      </c>
      <c r="N58" s="320">
        <v>0</v>
      </c>
      <c r="P58" s="320">
        <v>55</v>
      </c>
      <c r="Q58" s="319" t="s">
        <v>472</v>
      </c>
      <c r="R58" s="319" t="s">
        <v>851</v>
      </c>
      <c r="S58" s="320" t="s">
        <v>1006</v>
      </c>
      <c r="T58" s="320" t="s">
        <v>1010</v>
      </c>
      <c r="U58" s="320">
        <v>0.86890000000000001</v>
      </c>
    </row>
    <row r="59" spans="2:21">
      <c r="B59" s="1">
        <v>56</v>
      </c>
      <c r="C59" s="319" t="s">
        <v>472</v>
      </c>
      <c r="D59" s="319" t="s">
        <v>851</v>
      </c>
      <c r="E59" s="320" t="s">
        <v>985</v>
      </c>
      <c r="F59" s="320" t="s">
        <v>995</v>
      </c>
      <c r="G59" s="321">
        <v>0</v>
      </c>
      <c r="I59" s="320">
        <v>56</v>
      </c>
      <c r="J59" s="319" t="s">
        <v>472</v>
      </c>
      <c r="K59" s="319" t="s">
        <v>851</v>
      </c>
      <c r="L59" s="320" t="s">
        <v>1000</v>
      </c>
      <c r="M59" s="320" t="s">
        <v>1004</v>
      </c>
      <c r="N59" s="320">
        <v>4.0000000000000002E-4</v>
      </c>
      <c r="P59" s="320">
        <v>56</v>
      </c>
      <c r="Q59" s="319" t="s">
        <v>472</v>
      </c>
      <c r="R59" s="319" t="s">
        <v>851</v>
      </c>
      <c r="S59" s="320" t="s">
        <v>1006</v>
      </c>
      <c r="T59" s="320" t="s">
        <v>1011</v>
      </c>
      <c r="U59" s="320">
        <v>0.81320000000000003</v>
      </c>
    </row>
    <row r="60" spans="2:21">
      <c r="B60" s="1">
        <v>57</v>
      </c>
      <c r="C60" s="319" t="s">
        <v>472</v>
      </c>
      <c r="D60" s="319" t="s">
        <v>861</v>
      </c>
      <c r="E60" s="320" t="s">
        <v>990</v>
      </c>
      <c r="F60" s="320" t="s">
        <v>997</v>
      </c>
      <c r="G60" s="321">
        <v>0</v>
      </c>
      <c r="I60" s="320">
        <v>57</v>
      </c>
      <c r="J60" s="319" t="s">
        <v>472</v>
      </c>
      <c r="K60" s="319" t="s">
        <v>851</v>
      </c>
      <c r="L60" s="320" t="s">
        <v>1000</v>
      </c>
      <c r="M60" s="320" t="s">
        <v>999</v>
      </c>
      <c r="N60" s="320">
        <v>0</v>
      </c>
      <c r="P60" s="320">
        <v>57</v>
      </c>
      <c r="Q60" s="319" t="s">
        <v>472</v>
      </c>
      <c r="R60" s="319" t="s">
        <v>851</v>
      </c>
      <c r="S60" s="320" t="s">
        <v>1006</v>
      </c>
      <c r="T60" s="320" t="s">
        <v>1012</v>
      </c>
      <c r="U60" s="320">
        <v>0.78359999999999996</v>
      </c>
    </row>
    <row r="61" spans="2:21">
      <c r="B61" s="1">
        <v>58</v>
      </c>
      <c r="C61" s="319" t="s">
        <v>472</v>
      </c>
      <c r="D61" s="319" t="s">
        <v>861</v>
      </c>
      <c r="E61" s="320" t="s">
        <v>990</v>
      </c>
      <c r="F61" s="320" t="s">
        <v>999</v>
      </c>
      <c r="G61" s="321">
        <v>0</v>
      </c>
      <c r="I61" s="320">
        <v>58</v>
      </c>
      <c r="J61" s="319" t="s">
        <v>472</v>
      </c>
      <c r="K61" s="319" t="s">
        <v>851</v>
      </c>
      <c r="L61" s="320" t="s">
        <v>1006</v>
      </c>
      <c r="M61" s="320" t="s">
        <v>1013</v>
      </c>
      <c r="N61" s="320">
        <v>5.6000000000000001E-2</v>
      </c>
      <c r="P61" s="320">
        <v>58</v>
      </c>
      <c r="Q61" s="319" t="s">
        <v>472</v>
      </c>
      <c r="R61" s="319" t="s">
        <v>851</v>
      </c>
      <c r="S61" s="320" t="s">
        <v>1006</v>
      </c>
      <c r="T61" s="320" t="s">
        <v>1014</v>
      </c>
      <c r="U61" s="320">
        <v>0.42030000000000001</v>
      </c>
    </row>
    <row r="62" spans="2:21">
      <c r="B62" s="1">
        <v>59</v>
      </c>
      <c r="C62" s="319" t="s">
        <v>472</v>
      </c>
      <c r="D62" s="319" t="s">
        <v>851</v>
      </c>
      <c r="E62" s="320" t="s">
        <v>993</v>
      </c>
      <c r="F62" s="320" t="s">
        <v>1001</v>
      </c>
      <c r="G62" s="321">
        <v>0</v>
      </c>
      <c r="I62" s="320">
        <v>59</v>
      </c>
      <c r="J62" s="319" t="s">
        <v>472</v>
      </c>
      <c r="K62" s="319" t="s">
        <v>851</v>
      </c>
      <c r="L62" s="320" t="s">
        <v>1006</v>
      </c>
      <c r="M62" s="320" t="s">
        <v>902</v>
      </c>
      <c r="N62" s="320">
        <v>1.6799999999999999E-2</v>
      </c>
      <c r="P62" s="320">
        <v>59</v>
      </c>
      <c r="Q62" s="319" t="s">
        <v>472</v>
      </c>
      <c r="R62" s="319" t="s">
        <v>851</v>
      </c>
      <c r="S62" s="320" t="s">
        <v>1006</v>
      </c>
      <c r="T62" s="320" t="s">
        <v>1014</v>
      </c>
      <c r="U62" s="320">
        <v>0.42420000000000002</v>
      </c>
    </row>
    <row r="63" spans="2:21">
      <c r="B63" s="1">
        <v>60</v>
      </c>
      <c r="C63" s="319" t="s">
        <v>472</v>
      </c>
      <c r="D63" s="319" t="s">
        <v>861</v>
      </c>
      <c r="E63" s="320" t="s">
        <v>996</v>
      </c>
      <c r="F63" s="320" t="s">
        <v>982</v>
      </c>
      <c r="G63" s="321">
        <v>0</v>
      </c>
      <c r="I63" s="320">
        <v>60</v>
      </c>
      <c r="J63" s="319" t="s">
        <v>472</v>
      </c>
      <c r="K63" s="319" t="s">
        <v>851</v>
      </c>
      <c r="L63" s="320" t="s">
        <v>1006</v>
      </c>
      <c r="M63" s="320" t="s">
        <v>905</v>
      </c>
      <c r="N63" s="320">
        <v>6.0000000000000001E-3</v>
      </c>
      <c r="P63" s="320">
        <v>60</v>
      </c>
      <c r="Q63" s="319" t="s">
        <v>472</v>
      </c>
      <c r="R63" s="319" t="s">
        <v>851</v>
      </c>
      <c r="S63" s="320" t="s">
        <v>1006</v>
      </c>
      <c r="T63" s="320" t="s">
        <v>1015</v>
      </c>
      <c r="U63" s="320">
        <v>0.10440000000000001</v>
      </c>
    </row>
    <row r="64" spans="2:21">
      <c r="B64" s="1">
        <v>61</v>
      </c>
      <c r="C64" s="319" t="s">
        <v>472</v>
      </c>
      <c r="D64" s="319" t="s">
        <v>861</v>
      </c>
      <c r="E64" s="320" t="s">
        <v>996</v>
      </c>
      <c r="F64" s="320" t="s">
        <v>1002</v>
      </c>
      <c r="G64" s="321">
        <v>0</v>
      </c>
      <c r="I64" s="320">
        <v>61</v>
      </c>
      <c r="J64" s="319" t="s">
        <v>472</v>
      </c>
      <c r="K64" s="319" t="s">
        <v>851</v>
      </c>
      <c r="L64" s="320" t="s">
        <v>1006</v>
      </c>
      <c r="M64" s="320" t="s">
        <v>1016</v>
      </c>
      <c r="N64" s="320">
        <v>1.4E-3</v>
      </c>
      <c r="P64" s="320">
        <v>61</v>
      </c>
      <c r="Q64" s="319" t="s">
        <v>472</v>
      </c>
      <c r="R64" s="319" t="s">
        <v>851</v>
      </c>
      <c r="S64" s="320" t="s">
        <v>1017</v>
      </c>
      <c r="T64" s="320" t="s">
        <v>1018</v>
      </c>
      <c r="U64" s="320">
        <v>0</v>
      </c>
    </row>
    <row r="65" spans="2:21">
      <c r="B65" s="1">
        <v>62</v>
      </c>
      <c r="C65" s="319" t="s">
        <v>472</v>
      </c>
      <c r="D65" s="319" t="s">
        <v>861</v>
      </c>
      <c r="E65" s="320" t="s">
        <v>1000</v>
      </c>
      <c r="F65" s="320" t="s">
        <v>988</v>
      </c>
      <c r="G65" s="321">
        <v>1E-4</v>
      </c>
      <c r="I65" s="320">
        <v>62</v>
      </c>
      <c r="J65" s="319" t="s">
        <v>472</v>
      </c>
      <c r="K65" s="319" t="s">
        <v>851</v>
      </c>
      <c r="L65" s="320" t="s">
        <v>1006</v>
      </c>
      <c r="M65" s="320" t="s">
        <v>1014</v>
      </c>
      <c r="N65" s="320">
        <v>0</v>
      </c>
      <c r="P65" s="320">
        <v>62</v>
      </c>
      <c r="Q65" s="319" t="s">
        <v>472</v>
      </c>
      <c r="R65" s="319" t="s">
        <v>861</v>
      </c>
      <c r="S65" s="320" t="s">
        <v>1019</v>
      </c>
      <c r="T65" s="320" t="s">
        <v>1020</v>
      </c>
      <c r="U65" s="320">
        <v>1E-4</v>
      </c>
    </row>
    <row r="66" spans="2:21">
      <c r="B66" s="1">
        <v>63</v>
      </c>
      <c r="C66" s="319" t="s">
        <v>472</v>
      </c>
      <c r="D66" s="319" t="s">
        <v>861</v>
      </c>
      <c r="E66" s="320" t="s">
        <v>1000</v>
      </c>
      <c r="F66" s="320" t="s">
        <v>906</v>
      </c>
      <c r="G66" s="321">
        <v>0</v>
      </c>
      <c r="I66" s="320">
        <v>63</v>
      </c>
      <c r="J66" s="319" t="s">
        <v>472</v>
      </c>
      <c r="K66" s="319" t="s">
        <v>851</v>
      </c>
      <c r="L66" s="320" t="s">
        <v>1006</v>
      </c>
      <c r="M66" s="320" t="s">
        <v>1014</v>
      </c>
      <c r="N66" s="320">
        <v>1E-4</v>
      </c>
      <c r="P66" s="320">
        <v>63</v>
      </c>
      <c r="Q66" s="319" t="s">
        <v>472</v>
      </c>
      <c r="R66" s="319" t="s">
        <v>861</v>
      </c>
      <c r="S66" s="320" t="s">
        <v>1019</v>
      </c>
      <c r="T66" s="320" t="s">
        <v>1021</v>
      </c>
      <c r="U66" s="320">
        <v>0</v>
      </c>
    </row>
    <row r="67" spans="2:21">
      <c r="B67" s="1">
        <v>64</v>
      </c>
      <c r="C67" s="319" t="s">
        <v>472</v>
      </c>
      <c r="D67" s="319" t="s">
        <v>861</v>
      </c>
      <c r="E67" s="320" t="s">
        <v>1000</v>
      </c>
      <c r="F67" s="320" t="s">
        <v>1002</v>
      </c>
      <c r="G67" s="321">
        <v>0</v>
      </c>
      <c r="I67" s="320">
        <v>64</v>
      </c>
      <c r="J67" s="319" t="s">
        <v>472</v>
      </c>
      <c r="K67" s="319" t="s">
        <v>851</v>
      </c>
      <c r="L67" s="320" t="s">
        <v>1006</v>
      </c>
      <c r="M67" s="320" t="s">
        <v>1015</v>
      </c>
      <c r="N67" s="320">
        <v>1E-4</v>
      </c>
      <c r="P67" s="320">
        <v>64</v>
      </c>
      <c r="Q67" s="319" t="s">
        <v>472</v>
      </c>
      <c r="R67" s="319" t="s">
        <v>851</v>
      </c>
      <c r="S67" s="320" t="s">
        <v>1022</v>
      </c>
      <c r="T67" s="320" t="s">
        <v>1023</v>
      </c>
      <c r="U67" s="320">
        <v>1E-4</v>
      </c>
    </row>
    <row r="68" spans="2:21">
      <c r="B68" s="1">
        <v>65</v>
      </c>
      <c r="C68" s="319" t="s">
        <v>472</v>
      </c>
      <c r="D68" s="319" t="s">
        <v>861</v>
      </c>
      <c r="E68" s="320" t="s">
        <v>1000</v>
      </c>
      <c r="F68" s="320" t="s">
        <v>1009</v>
      </c>
      <c r="G68" s="321">
        <v>0</v>
      </c>
      <c r="I68" s="320">
        <v>65</v>
      </c>
      <c r="J68" s="319" t="s">
        <v>472</v>
      </c>
      <c r="K68" s="319" t="s">
        <v>851</v>
      </c>
      <c r="L68" s="320" t="s">
        <v>1017</v>
      </c>
      <c r="M68" s="320" t="s">
        <v>1024</v>
      </c>
      <c r="N68" s="320">
        <v>0</v>
      </c>
      <c r="P68" s="320">
        <v>65</v>
      </c>
      <c r="Q68" s="319" t="s">
        <v>472</v>
      </c>
      <c r="R68" s="319" t="s">
        <v>851</v>
      </c>
      <c r="S68" s="320" t="s">
        <v>1025</v>
      </c>
      <c r="T68" s="320" t="s">
        <v>1026</v>
      </c>
      <c r="U68" s="320">
        <v>0</v>
      </c>
    </row>
    <row r="69" spans="2:21">
      <c r="B69" s="1">
        <v>66</v>
      </c>
      <c r="C69" s="319" t="s">
        <v>472</v>
      </c>
      <c r="D69" s="319" t="s">
        <v>851</v>
      </c>
      <c r="E69" s="320" t="s">
        <v>1000</v>
      </c>
      <c r="F69" s="320" t="s">
        <v>1027</v>
      </c>
      <c r="G69" s="321">
        <v>0</v>
      </c>
      <c r="I69" s="320">
        <v>66</v>
      </c>
      <c r="J69" s="319" t="s">
        <v>472</v>
      </c>
      <c r="K69" s="319" t="s">
        <v>861</v>
      </c>
      <c r="L69" s="320" t="s">
        <v>1019</v>
      </c>
      <c r="M69" s="320" t="s">
        <v>1028</v>
      </c>
      <c r="N69" s="320">
        <v>0</v>
      </c>
      <c r="P69" s="320">
        <v>66</v>
      </c>
      <c r="Q69" s="319" t="s">
        <v>472</v>
      </c>
      <c r="R69" s="319" t="s">
        <v>851</v>
      </c>
      <c r="S69" s="320" t="s">
        <v>1029</v>
      </c>
      <c r="T69" s="320" t="s">
        <v>1030</v>
      </c>
      <c r="U69" s="320">
        <v>0</v>
      </c>
    </row>
    <row r="70" spans="2:21">
      <c r="B70" s="1">
        <v>67</v>
      </c>
      <c r="C70" s="319" t="s">
        <v>472</v>
      </c>
      <c r="D70" s="319" t="s">
        <v>851</v>
      </c>
      <c r="E70" s="320" t="s">
        <v>1000</v>
      </c>
      <c r="F70" s="320" t="s">
        <v>999</v>
      </c>
      <c r="G70" s="321">
        <v>0</v>
      </c>
      <c r="I70" s="320">
        <v>67</v>
      </c>
      <c r="J70" s="319" t="s">
        <v>472</v>
      </c>
      <c r="K70" s="319" t="s">
        <v>861</v>
      </c>
      <c r="L70" s="320" t="s">
        <v>1019</v>
      </c>
      <c r="M70" s="320" t="s">
        <v>1031</v>
      </c>
      <c r="N70" s="320">
        <v>0</v>
      </c>
      <c r="P70" s="320">
        <v>67</v>
      </c>
      <c r="Q70" s="319" t="s">
        <v>472</v>
      </c>
      <c r="R70" s="319" t="s">
        <v>851</v>
      </c>
      <c r="S70" s="320" t="s">
        <v>1029</v>
      </c>
      <c r="T70" s="320" t="s">
        <v>1032</v>
      </c>
      <c r="U70" s="320">
        <v>0</v>
      </c>
    </row>
    <row r="71" spans="2:21">
      <c r="B71" s="1">
        <v>68</v>
      </c>
      <c r="C71" s="319" t="s">
        <v>472</v>
      </c>
      <c r="D71" s="319" t="s">
        <v>851</v>
      </c>
      <c r="E71" s="320" t="s">
        <v>1006</v>
      </c>
      <c r="F71" s="320" t="s">
        <v>1033</v>
      </c>
      <c r="G71" s="321">
        <v>2.0000000000000001E-4</v>
      </c>
      <c r="I71" s="320">
        <v>68</v>
      </c>
      <c r="J71" s="319" t="s">
        <v>472</v>
      </c>
      <c r="K71" s="319" t="s">
        <v>851</v>
      </c>
      <c r="L71" s="320" t="s">
        <v>1022</v>
      </c>
      <c r="M71" s="320" t="s">
        <v>1034</v>
      </c>
      <c r="N71" s="320">
        <v>0</v>
      </c>
      <c r="P71" s="320">
        <v>68</v>
      </c>
      <c r="Q71" s="319" t="s">
        <v>472</v>
      </c>
      <c r="R71" s="319" t="s">
        <v>851</v>
      </c>
      <c r="S71" s="320" t="s">
        <v>1029</v>
      </c>
      <c r="T71" s="320" t="s">
        <v>1035</v>
      </c>
      <c r="U71" s="320">
        <v>0</v>
      </c>
    </row>
    <row r="72" spans="2:21">
      <c r="B72" s="1">
        <v>69</v>
      </c>
      <c r="C72" s="319" t="s">
        <v>472</v>
      </c>
      <c r="D72" s="319" t="s">
        <v>851</v>
      </c>
      <c r="E72" s="320" t="s">
        <v>1006</v>
      </c>
      <c r="F72" s="320" t="s">
        <v>912</v>
      </c>
      <c r="G72" s="321">
        <v>0</v>
      </c>
      <c r="I72" s="320">
        <v>69</v>
      </c>
      <c r="J72" s="319" t="s">
        <v>472</v>
      </c>
      <c r="K72" s="319" t="s">
        <v>851</v>
      </c>
      <c r="L72" s="320" t="s">
        <v>1025</v>
      </c>
      <c r="M72" s="320" t="s">
        <v>1036</v>
      </c>
      <c r="N72" s="320">
        <v>0</v>
      </c>
      <c r="P72" s="320">
        <v>69</v>
      </c>
      <c r="Q72" s="319" t="s">
        <v>472</v>
      </c>
      <c r="R72" s="319" t="s">
        <v>851</v>
      </c>
      <c r="S72" s="320" t="s">
        <v>1029</v>
      </c>
      <c r="T72" s="320" t="s">
        <v>1037</v>
      </c>
      <c r="U72" s="320">
        <v>0</v>
      </c>
    </row>
    <row r="73" spans="2:21">
      <c r="B73" s="1">
        <v>70</v>
      </c>
      <c r="C73" s="319" t="s">
        <v>472</v>
      </c>
      <c r="D73" s="319" t="s">
        <v>851</v>
      </c>
      <c r="E73" s="320" t="s">
        <v>1006</v>
      </c>
      <c r="F73" s="320" t="s">
        <v>916</v>
      </c>
      <c r="G73" s="321">
        <v>0</v>
      </c>
      <c r="P73" s="320">
        <v>70</v>
      </c>
      <c r="Q73" s="319" t="s">
        <v>472</v>
      </c>
      <c r="R73" s="319" t="s">
        <v>851</v>
      </c>
      <c r="S73" s="320" t="s">
        <v>1038</v>
      </c>
      <c r="T73" s="320" t="s">
        <v>1039</v>
      </c>
      <c r="U73" s="320">
        <v>0</v>
      </c>
    </row>
    <row r="74" spans="2:21">
      <c r="B74" s="1">
        <v>71</v>
      </c>
      <c r="C74" s="319" t="s">
        <v>472</v>
      </c>
      <c r="D74" s="319" t="s">
        <v>851</v>
      </c>
      <c r="E74" s="320" t="s">
        <v>1006</v>
      </c>
      <c r="F74" s="320" t="s">
        <v>1016</v>
      </c>
      <c r="G74" s="321">
        <v>0</v>
      </c>
    </row>
    <row r="75" spans="2:21">
      <c r="B75" s="1">
        <v>72</v>
      </c>
      <c r="C75" s="319" t="s">
        <v>472</v>
      </c>
      <c r="D75" s="319" t="s">
        <v>851</v>
      </c>
      <c r="E75" s="320" t="s">
        <v>1006</v>
      </c>
      <c r="F75" s="320" t="s">
        <v>1014</v>
      </c>
      <c r="G75" s="321">
        <v>0</v>
      </c>
    </row>
    <row r="76" spans="2:21">
      <c r="B76" s="1">
        <v>73</v>
      </c>
      <c r="C76" s="319" t="s">
        <v>472</v>
      </c>
      <c r="D76" s="319" t="s">
        <v>851</v>
      </c>
      <c r="E76" s="320" t="s">
        <v>1006</v>
      </c>
      <c r="F76" s="320" t="s">
        <v>1040</v>
      </c>
      <c r="G76" s="321">
        <v>0</v>
      </c>
    </row>
    <row r="77" spans="2:21">
      <c r="B77" s="1">
        <v>74</v>
      </c>
      <c r="C77" s="319" t="s">
        <v>472</v>
      </c>
      <c r="D77" s="319" t="s">
        <v>851</v>
      </c>
      <c r="E77" s="320" t="s">
        <v>1006</v>
      </c>
      <c r="F77" s="320" t="s">
        <v>1015</v>
      </c>
      <c r="G77" s="321">
        <v>0</v>
      </c>
    </row>
    <row r="79" spans="2:21">
      <c r="B79" s="126" t="s">
        <v>424</v>
      </c>
      <c r="C79" s="126" t="s">
        <v>847</v>
      </c>
      <c r="D79" s="126" t="s">
        <v>848</v>
      </c>
      <c r="E79" s="126" t="s">
        <v>849</v>
      </c>
      <c r="F79" s="126" t="s">
        <v>841</v>
      </c>
      <c r="G79" s="126" t="s">
        <v>835</v>
      </c>
      <c r="H79" s="126" t="s">
        <v>822</v>
      </c>
    </row>
    <row r="80" spans="2:21">
      <c r="B80" s="126" t="s">
        <v>856</v>
      </c>
      <c r="C80" s="126" t="s">
        <v>857</v>
      </c>
      <c r="D80" s="322">
        <v>40976</v>
      </c>
      <c r="E80" s="322">
        <v>44830</v>
      </c>
      <c r="F80" s="323">
        <v>1</v>
      </c>
      <c r="G80" s="126" t="s">
        <v>31</v>
      </c>
      <c r="H80" s="126" t="s">
        <v>31</v>
      </c>
    </row>
    <row r="81" spans="2:14">
      <c r="B81" s="126" t="s">
        <v>860</v>
      </c>
      <c r="C81" s="126" t="s">
        <v>861</v>
      </c>
      <c r="D81" s="322">
        <v>41179</v>
      </c>
      <c r="E81" s="322">
        <v>45291</v>
      </c>
      <c r="F81" s="323">
        <v>0.99239999999999995</v>
      </c>
      <c r="G81" s="323">
        <v>1</v>
      </c>
      <c r="H81" s="126" t="s">
        <v>31</v>
      </c>
    </row>
    <row r="82" spans="2:14">
      <c r="B82" s="126" t="s">
        <v>867</v>
      </c>
      <c r="C82" s="126" t="s">
        <v>851</v>
      </c>
      <c r="D82" s="322">
        <v>41420</v>
      </c>
      <c r="E82" s="322">
        <v>44501</v>
      </c>
      <c r="F82" s="323">
        <v>1</v>
      </c>
      <c r="G82" s="126" t="s">
        <v>31</v>
      </c>
      <c r="H82" s="126" t="s">
        <v>31</v>
      </c>
    </row>
    <row r="83" spans="2:14">
      <c r="B83" s="126" t="s">
        <v>860</v>
      </c>
      <c r="C83" s="126" t="s">
        <v>861</v>
      </c>
      <c r="D83" s="322">
        <v>41449</v>
      </c>
      <c r="E83" s="322">
        <v>45291</v>
      </c>
      <c r="F83" s="323">
        <v>0.99219999999999997</v>
      </c>
      <c r="G83" s="323">
        <v>1</v>
      </c>
      <c r="H83" s="126" t="s">
        <v>31</v>
      </c>
    </row>
    <row r="84" spans="2:14">
      <c r="B84" s="126" t="s">
        <v>870</v>
      </c>
      <c r="C84" s="126" t="s">
        <v>871</v>
      </c>
      <c r="D84" s="322">
        <v>43790</v>
      </c>
      <c r="E84" s="322">
        <v>45014</v>
      </c>
      <c r="F84" s="323">
        <v>0.96789999999999998</v>
      </c>
      <c r="G84" s="323">
        <v>1</v>
      </c>
      <c r="H84" s="126" t="s">
        <v>31</v>
      </c>
    </row>
    <row r="85" spans="2:14">
      <c r="B85" s="324" t="s">
        <v>472</v>
      </c>
      <c r="C85" s="324" t="s">
        <v>851</v>
      </c>
      <c r="D85" s="325">
        <v>43971</v>
      </c>
      <c r="E85" s="325">
        <v>45257</v>
      </c>
      <c r="F85" s="326">
        <v>0.32819999999999999</v>
      </c>
      <c r="G85" s="324" t="s">
        <v>31</v>
      </c>
      <c r="H85" s="324" t="s">
        <v>31</v>
      </c>
    </row>
    <row r="86" spans="2:14">
      <c r="B86" s="126" t="s">
        <v>850</v>
      </c>
      <c r="C86" s="126" t="s">
        <v>851</v>
      </c>
      <c r="D86" s="322">
        <v>43987</v>
      </c>
      <c r="E86" s="322">
        <v>44978</v>
      </c>
      <c r="F86" s="323">
        <v>0.98450000000000004</v>
      </c>
      <c r="G86" s="323">
        <v>1</v>
      </c>
      <c r="H86" s="126" t="s">
        <v>31</v>
      </c>
    </row>
    <row r="87" spans="2:14">
      <c r="B87" s="126" t="s">
        <v>850</v>
      </c>
      <c r="C87" s="126" t="s">
        <v>851</v>
      </c>
      <c r="D87" s="322">
        <v>43987</v>
      </c>
      <c r="E87" s="322">
        <v>45107</v>
      </c>
      <c r="F87" s="323">
        <v>0.93479999999999996</v>
      </c>
      <c r="G87" s="323">
        <v>1</v>
      </c>
      <c r="H87" s="126" t="s">
        <v>31</v>
      </c>
    </row>
    <row r="88" spans="2:14">
      <c r="B88" s="324" t="s">
        <v>472</v>
      </c>
      <c r="C88" s="324" t="s">
        <v>851</v>
      </c>
      <c r="D88" s="325">
        <v>44113</v>
      </c>
      <c r="E88" s="325">
        <v>45439</v>
      </c>
      <c r="F88" s="326">
        <v>0.66439999999999999</v>
      </c>
      <c r="G88" s="326">
        <v>0.96619999999999995</v>
      </c>
      <c r="H88" s="326">
        <v>0.97519999999999996</v>
      </c>
    </row>
    <row r="89" spans="2:14">
      <c r="B89" s="324" t="s">
        <v>472</v>
      </c>
      <c r="C89" s="324" t="s">
        <v>851</v>
      </c>
      <c r="D89" s="325">
        <v>44113</v>
      </c>
      <c r="E89" s="325">
        <v>45471</v>
      </c>
      <c r="F89" s="326">
        <v>0.37519999999999998</v>
      </c>
      <c r="G89" s="326">
        <v>0.92290000000000005</v>
      </c>
      <c r="H89" s="326">
        <v>0.97470000000000001</v>
      </c>
    </row>
    <row r="90" spans="2:14">
      <c r="B90" s="324" t="s">
        <v>472</v>
      </c>
      <c r="C90" s="324" t="s">
        <v>851</v>
      </c>
      <c r="D90" s="325">
        <v>44113</v>
      </c>
      <c r="E90" s="325">
        <v>45976</v>
      </c>
      <c r="F90" s="326">
        <v>7.3000000000000001E-3</v>
      </c>
      <c r="G90" s="326">
        <v>4.8300000000000003E-2</v>
      </c>
      <c r="H90" s="326">
        <v>0.59570000000000001</v>
      </c>
    </row>
    <row r="91" spans="2:14">
      <c r="B91" s="126" t="s">
        <v>874</v>
      </c>
      <c r="C91" s="126" t="s">
        <v>875</v>
      </c>
      <c r="D91" s="322">
        <v>44166</v>
      </c>
      <c r="E91" s="322">
        <v>45838</v>
      </c>
      <c r="F91" s="126" t="s">
        <v>31</v>
      </c>
      <c r="G91" s="126" t="s">
        <v>31</v>
      </c>
      <c r="H91" s="323">
        <v>0.94299999999999995</v>
      </c>
    </row>
    <row r="92" spans="2:14">
      <c r="B92" s="126" t="s">
        <v>909</v>
      </c>
      <c r="C92" s="126" t="s">
        <v>857</v>
      </c>
      <c r="D92" s="322">
        <v>44327</v>
      </c>
      <c r="E92" s="322">
        <v>45716</v>
      </c>
      <c r="F92" s="323">
        <v>0.12379999999999999</v>
      </c>
      <c r="G92" s="323">
        <v>0.65310000000000001</v>
      </c>
      <c r="H92" s="323">
        <v>0.9466</v>
      </c>
    </row>
    <row r="93" spans="2:14">
      <c r="B93" s="327" t="s">
        <v>472</v>
      </c>
      <c r="C93" s="327" t="s">
        <v>851</v>
      </c>
      <c r="D93" s="328">
        <v>44344</v>
      </c>
      <c r="E93" s="328">
        <v>45289</v>
      </c>
      <c r="F93" s="329">
        <v>0.17710000000000001</v>
      </c>
      <c r="G93" s="327" t="s">
        <v>31</v>
      </c>
      <c r="H93" s="327" t="s">
        <v>31</v>
      </c>
      <c r="K93" s="1" t="s">
        <v>682</v>
      </c>
      <c r="L93" s="1" t="s">
        <v>683</v>
      </c>
      <c r="M93" s="1" t="s">
        <v>684</v>
      </c>
      <c r="N93" s="1" t="s">
        <v>1041</v>
      </c>
    </row>
    <row r="94" spans="2:14">
      <c r="B94" s="126" t="s">
        <v>867</v>
      </c>
      <c r="C94" s="126" t="s">
        <v>917</v>
      </c>
      <c r="D94" s="322">
        <v>44348</v>
      </c>
      <c r="E94" s="322">
        <v>45900</v>
      </c>
      <c r="F94" s="323">
        <v>0.15690000000000001</v>
      </c>
      <c r="G94" s="323">
        <v>0.64470000000000005</v>
      </c>
      <c r="H94" s="323">
        <v>0.89749999999999996</v>
      </c>
      <c r="J94" s="1" t="s">
        <v>134</v>
      </c>
      <c r="K94" s="43">
        <f>AVERAGE(F95:F108)</f>
        <v>6.0071428571428567E-3</v>
      </c>
      <c r="L94" s="43">
        <f>AVERAGE(G95:G104)</f>
        <v>0.63430999999999993</v>
      </c>
      <c r="M94" s="43">
        <f>AVERAGE(H95:H107)</f>
        <v>0.94822307692307695</v>
      </c>
    </row>
    <row r="95" spans="2:14">
      <c r="B95" s="327" t="s">
        <v>472</v>
      </c>
      <c r="C95" s="327" t="s">
        <v>851</v>
      </c>
      <c r="D95" s="328">
        <v>44407</v>
      </c>
      <c r="E95" s="328">
        <v>45471</v>
      </c>
      <c r="F95" s="330">
        <v>6.1999999999999998E-3</v>
      </c>
      <c r="G95" s="330">
        <v>0.88260000000000005</v>
      </c>
      <c r="H95" s="330">
        <v>1</v>
      </c>
      <c r="J95" s="1" t="s">
        <v>1042</v>
      </c>
      <c r="K95" s="47">
        <v>0.06</v>
      </c>
      <c r="L95" s="47">
        <f>L94-K94</f>
        <v>0.62830285714285705</v>
      </c>
      <c r="M95" s="47">
        <f>M94-L94-K94</f>
        <v>0.30790593406593414</v>
      </c>
    </row>
    <row r="96" spans="2:14">
      <c r="B96" s="327" t="s">
        <v>472</v>
      </c>
      <c r="C96" s="327" t="s">
        <v>851</v>
      </c>
      <c r="D96" s="328">
        <v>44452</v>
      </c>
      <c r="E96" s="328">
        <v>45597</v>
      </c>
      <c r="F96" s="330">
        <v>2.9000000000000001E-2</v>
      </c>
      <c r="G96" s="330">
        <v>0.88029999999999997</v>
      </c>
      <c r="H96" s="330">
        <v>1</v>
      </c>
    </row>
    <row r="97" spans="2:16">
      <c r="B97" s="327" t="s">
        <v>472</v>
      </c>
      <c r="C97" s="327" t="s">
        <v>851</v>
      </c>
      <c r="D97" s="328">
        <v>44452</v>
      </c>
      <c r="E97" s="328">
        <v>45608</v>
      </c>
      <c r="F97" s="330">
        <v>2.2000000000000001E-3</v>
      </c>
      <c r="G97" s="330">
        <v>0.77110000000000001</v>
      </c>
      <c r="H97" s="330">
        <v>1</v>
      </c>
      <c r="K97" s="1">
        <v>0.1</v>
      </c>
      <c r="L97" s="1">
        <v>0.6</v>
      </c>
      <c r="M97" s="1">
        <v>0.3</v>
      </c>
    </row>
    <row r="98" spans="2:16">
      <c r="B98" s="327" t="s">
        <v>472</v>
      </c>
      <c r="C98" s="327" t="s">
        <v>851</v>
      </c>
      <c r="D98" s="328">
        <v>44452</v>
      </c>
      <c r="E98" s="328">
        <v>45639</v>
      </c>
      <c r="F98" s="330">
        <v>2.0000000000000001E-4</v>
      </c>
      <c r="G98" s="330">
        <v>0.6492</v>
      </c>
      <c r="H98" s="330">
        <v>1</v>
      </c>
      <c r="J98" s="1" t="s">
        <v>1043</v>
      </c>
      <c r="K98" s="1" t="s">
        <v>1044</v>
      </c>
      <c r="L98" s="1" t="s">
        <v>1045</v>
      </c>
      <c r="M98" s="1" t="s">
        <v>1046</v>
      </c>
      <c r="N98" s="1" t="s">
        <v>1047</v>
      </c>
      <c r="O98" s="1" t="s">
        <v>1048</v>
      </c>
    </row>
    <row r="99" spans="2:16">
      <c r="B99" s="327" t="s">
        <v>472</v>
      </c>
      <c r="C99" s="327" t="s">
        <v>851</v>
      </c>
      <c r="D99" s="328">
        <v>44452</v>
      </c>
      <c r="E99" s="328">
        <v>45726</v>
      </c>
      <c r="F99" s="330">
        <v>0</v>
      </c>
      <c r="G99" s="330">
        <v>0.46610000000000001</v>
      </c>
      <c r="H99" s="330">
        <v>0.94650000000000001</v>
      </c>
      <c r="J99" s="1" t="s">
        <v>134</v>
      </c>
      <c r="K99" s="43">
        <f t="shared" ref="K99:N99" si="0">AVERAGE(F111:F148)</f>
        <v>2.1842105263157895E-4</v>
      </c>
      <c r="L99" s="43">
        <f t="shared" si="0"/>
        <v>4.2726315789473668E-2</v>
      </c>
      <c r="M99" s="43">
        <f t="shared" si="0"/>
        <v>0.40978157894736833</v>
      </c>
      <c r="N99" s="43">
        <f t="shared" si="0"/>
        <v>0.78911973684210523</v>
      </c>
      <c r="O99" s="43">
        <v>1</v>
      </c>
    </row>
    <row r="100" spans="2:16">
      <c r="B100" s="327" t="s">
        <v>472</v>
      </c>
      <c r="C100" s="327" t="s">
        <v>851</v>
      </c>
      <c r="D100" s="328">
        <v>44489</v>
      </c>
      <c r="E100" s="328">
        <v>45671</v>
      </c>
      <c r="F100" s="330">
        <v>4.7999999999999996E-3</v>
      </c>
      <c r="G100" s="331">
        <v>0.21820000000000001</v>
      </c>
      <c r="H100" s="330">
        <v>0.96040000000000003</v>
      </c>
      <c r="J100" s="1" t="s">
        <v>1042</v>
      </c>
      <c r="K100" s="43">
        <f>K99</f>
        <v>2.1842105263157895E-4</v>
      </c>
      <c r="L100" s="43">
        <f t="shared" ref="L100:O100" si="1">L99-K99</f>
        <v>4.2507894736842092E-2</v>
      </c>
      <c r="M100" s="43">
        <f t="shared" si="1"/>
        <v>0.36705526315789466</v>
      </c>
      <c r="N100" s="43">
        <f t="shared" si="1"/>
        <v>0.3793381578947369</v>
      </c>
      <c r="O100" s="43">
        <f t="shared" si="1"/>
        <v>0.21088026315789477</v>
      </c>
      <c r="P100" s="43">
        <f>SUM(K100:O100)</f>
        <v>1</v>
      </c>
    </row>
    <row r="101" spans="2:16">
      <c r="B101" s="327" t="s">
        <v>472</v>
      </c>
      <c r="C101" s="327" t="s">
        <v>861</v>
      </c>
      <c r="D101" s="328">
        <v>44510</v>
      </c>
      <c r="E101" s="328">
        <v>45545</v>
      </c>
      <c r="F101" s="330">
        <v>1.5900000000000001E-2</v>
      </c>
      <c r="G101" s="330">
        <v>0.68320000000000003</v>
      </c>
      <c r="H101" s="330">
        <v>1</v>
      </c>
    </row>
    <row r="102" spans="2:16">
      <c r="B102" s="327" t="s">
        <v>472</v>
      </c>
      <c r="C102" s="327" t="s">
        <v>861</v>
      </c>
      <c r="D102" s="328">
        <v>44510</v>
      </c>
      <c r="E102" s="328">
        <v>45625</v>
      </c>
      <c r="F102" s="330">
        <v>3.7000000000000002E-3</v>
      </c>
      <c r="G102" s="330">
        <v>0.49099999999999999</v>
      </c>
      <c r="H102" s="330">
        <v>1</v>
      </c>
    </row>
    <row r="103" spans="2:16">
      <c r="B103" s="327" t="s">
        <v>472</v>
      </c>
      <c r="C103" s="327" t="s">
        <v>871</v>
      </c>
      <c r="D103" s="328">
        <v>44530</v>
      </c>
      <c r="E103" s="328">
        <v>45527</v>
      </c>
      <c r="F103" s="330">
        <v>1.7899999999999999E-2</v>
      </c>
      <c r="G103" s="330">
        <v>0.69769999999999999</v>
      </c>
      <c r="H103" s="330">
        <v>1</v>
      </c>
    </row>
    <row r="104" spans="2:16">
      <c r="B104" s="327" t="s">
        <v>472</v>
      </c>
      <c r="C104" s="327" t="s">
        <v>871</v>
      </c>
      <c r="D104" s="328">
        <v>44530</v>
      </c>
      <c r="E104" s="328">
        <v>45567</v>
      </c>
      <c r="F104" s="330">
        <v>2.8999999999999998E-3</v>
      </c>
      <c r="G104" s="330">
        <v>0.60370000000000001</v>
      </c>
      <c r="H104" s="330">
        <v>1</v>
      </c>
    </row>
    <row r="105" spans="2:16">
      <c r="B105" s="327" t="s">
        <v>472</v>
      </c>
      <c r="C105" s="327" t="s">
        <v>871</v>
      </c>
      <c r="D105" s="328">
        <v>44530</v>
      </c>
      <c r="E105" s="328">
        <v>45797</v>
      </c>
      <c r="F105" s="330">
        <v>8.0000000000000004E-4</v>
      </c>
      <c r="G105" s="329">
        <v>4.1700000000000001E-2</v>
      </c>
      <c r="H105" s="330">
        <v>0.88580000000000003</v>
      </c>
    </row>
    <row r="106" spans="2:16">
      <c r="B106" s="327" t="s">
        <v>472</v>
      </c>
      <c r="C106" s="327" t="s">
        <v>871</v>
      </c>
      <c r="D106" s="328">
        <v>44530</v>
      </c>
      <c r="E106" s="328">
        <v>45852</v>
      </c>
      <c r="F106" s="330">
        <v>0</v>
      </c>
      <c r="G106" s="329">
        <v>6.3E-3</v>
      </c>
      <c r="H106" s="330">
        <v>0.8276</v>
      </c>
    </row>
    <row r="107" spans="2:16">
      <c r="B107" s="327" t="s">
        <v>472</v>
      </c>
      <c r="C107" s="327" t="s">
        <v>871</v>
      </c>
      <c r="D107" s="328">
        <v>44530</v>
      </c>
      <c r="E107" s="328">
        <v>45920</v>
      </c>
      <c r="F107" s="330">
        <v>2.9999999999999997E-4</v>
      </c>
      <c r="G107" s="329">
        <v>1.6000000000000001E-3</v>
      </c>
      <c r="H107" s="331">
        <v>0.70660000000000001</v>
      </c>
    </row>
    <row r="108" spans="2:16">
      <c r="B108" s="327" t="s">
        <v>472</v>
      </c>
      <c r="C108" s="327" t="s">
        <v>871</v>
      </c>
      <c r="D108" s="328">
        <v>44530</v>
      </c>
      <c r="E108" s="328">
        <v>45930</v>
      </c>
      <c r="F108" s="330">
        <v>2.0000000000000001E-4</v>
      </c>
      <c r="G108" s="329">
        <v>5.9999999999999995E-4</v>
      </c>
      <c r="H108" s="329">
        <v>0.58109999999999995</v>
      </c>
    </row>
    <row r="109" spans="2:16">
      <c r="B109" s="126" t="s">
        <v>909</v>
      </c>
      <c r="C109" s="126" t="s">
        <v>857</v>
      </c>
      <c r="D109" s="322">
        <v>44532</v>
      </c>
      <c r="E109" s="322">
        <v>45926</v>
      </c>
      <c r="F109" s="323">
        <v>6.4999999999999997E-3</v>
      </c>
      <c r="G109" s="323">
        <v>0.19009999999999999</v>
      </c>
      <c r="H109" s="323">
        <v>0.60560000000000003</v>
      </c>
    </row>
    <row r="110" spans="2:16">
      <c r="B110" s="126" t="s">
        <v>870</v>
      </c>
      <c r="C110" s="126" t="s">
        <v>857</v>
      </c>
      <c r="D110" s="322">
        <v>44571</v>
      </c>
      <c r="E110" s="322">
        <v>46026</v>
      </c>
      <c r="F110" s="323">
        <v>3.3399999999999999E-2</v>
      </c>
      <c r="G110" s="323">
        <v>0.16739999999999999</v>
      </c>
      <c r="H110" s="323">
        <v>0.69820000000000004</v>
      </c>
    </row>
    <row r="111" spans="2:16">
      <c r="B111" s="332" t="s">
        <v>472</v>
      </c>
      <c r="C111" s="332" t="s">
        <v>861</v>
      </c>
      <c r="D111" s="333">
        <v>44566</v>
      </c>
      <c r="E111" s="333">
        <v>45919</v>
      </c>
      <c r="F111" s="334">
        <v>4.0000000000000002E-4</v>
      </c>
      <c r="G111" s="334">
        <v>6.0000000000000001E-3</v>
      </c>
      <c r="H111" s="334">
        <v>0.7268</v>
      </c>
      <c r="I111" s="43">
        <v>1</v>
      </c>
      <c r="J111" s="1"/>
    </row>
    <row r="112" spans="2:16">
      <c r="B112" s="332" t="s">
        <v>472</v>
      </c>
      <c r="C112" s="332" t="s">
        <v>861</v>
      </c>
      <c r="D112" s="333">
        <v>44566</v>
      </c>
      <c r="E112" s="333">
        <v>45954</v>
      </c>
      <c r="F112" s="334">
        <v>1E-4</v>
      </c>
      <c r="G112" s="334">
        <v>3.8E-3</v>
      </c>
      <c r="H112" s="334">
        <v>0.56889999999999996</v>
      </c>
      <c r="I112" s="43">
        <v>1</v>
      </c>
      <c r="J112" s="1"/>
    </row>
    <row r="113" spans="2:10">
      <c r="B113" s="332" t="s">
        <v>472</v>
      </c>
      <c r="C113" s="332" t="s">
        <v>851</v>
      </c>
      <c r="D113" s="333">
        <v>44575</v>
      </c>
      <c r="E113" s="333">
        <v>45593</v>
      </c>
      <c r="F113" s="334">
        <v>2.8E-3</v>
      </c>
      <c r="G113" s="335">
        <v>0.58989999999999998</v>
      </c>
      <c r="H113" s="335">
        <v>1</v>
      </c>
      <c r="I113" s="43">
        <v>1</v>
      </c>
      <c r="J113" s="1"/>
    </row>
    <row r="114" spans="2:10">
      <c r="B114" s="332" t="s">
        <v>472</v>
      </c>
      <c r="C114" s="332" t="s">
        <v>861</v>
      </c>
      <c r="D114" s="333">
        <v>44589</v>
      </c>
      <c r="E114" s="333">
        <v>46015</v>
      </c>
      <c r="F114" s="334">
        <v>1E-4</v>
      </c>
      <c r="G114" s="334">
        <v>2.0000000000000001E-4</v>
      </c>
      <c r="H114" s="335">
        <v>0.32550000000000001</v>
      </c>
      <c r="I114" s="43">
        <v>1</v>
      </c>
      <c r="J114" s="1"/>
    </row>
    <row r="115" spans="2:10">
      <c r="B115" s="332" t="s">
        <v>472</v>
      </c>
      <c r="C115" s="332" t="s">
        <v>861</v>
      </c>
      <c r="D115" s="333">
        <v>44589</v>
      </c>
      <c r="E115" s="336">
        <v>46037</v>
      </c>
      <c r="F115" s="334">
        <v>1E-4</v>
      </c>
      <c r="G115" s="334">
        <v>2.0000000000000001E-4</v>
      </c>
      <c r="H115" s="335">
        <v>0.26</v>
      </c>
      <c r="I115" s="43">
        <f>H115+(1-H115)/2</f>
        <v>0.63</v>
      </c>
      <c r="J115" s="43"/>
    </row>
    <row r="116" spans="2:10">
      <c r="B116" s="332" t="s">
        <v>472</v>
      </c>
      <c r="C116" s="332" t="s">
        <v>871</v>
      </c>
      <c r="D116" s="333">
        <v>44637</v>
      </c>
      <c r="E116" s="333">
        <v>46015</v>
      </c>
      <c r="F116" s="334">
        <v>0</v>
      </c>
      <c r="G116" s="334">
        <v>1E-4</v>
      </c>
      <c r="H116" s="335">
        <v>0.29649999999999999</v>
      </c>
      <c r="I116" s="43">
        <v>1</v>
      </c>
      <c r="J116" s="43"/>
    </row>
    <row r="117" spans="2:10">
      <c r="B117" s="332" t="s">
        <v>472</v>
      </c>
      <c r="C117" s="332" t="s">
        <v>871</v>
      </c>
      <c r="D117" s="333">
        <v>44637</v>
      </c>
      <c r="E117" s="336">
        <v>46051</v>
      </c>
      <c r="F117" s="334">
        <v>0</v>
      </c>
      <c r="G117" s="334">
        <v>0</v>
      </c>
      <c r="H117" s="335">
        <v>0.18459999999999999</v>
      </c>
      <c r="I117" s="43">
        <f>H117+(1-H117)/2</f>
        <v>0.59230000000000005</v>
      </c>
      <c r="J117" s="43"/>
    </row>
    <row r="118" spans="2:10">
      <c r="B118" s="332" t="s">
        <v>472</v>
      </c>
      <c r="C118" s="332" t="s">
        <v>871</v>
      </c>
      <c r="D118" s="333">
        <v>44643</v>
      </c>
      <c r="E118" s="333">
        <v>45892</v>
      </c>
      <c r="F118" s="334">
        <v>5.0000000000000001E-4</v>
      </c>
      <c r="G118" s="334">
        <v>2.2499999999999999E-2</v>
      </c>
      <c r="H118" s="334">
        <v>0.71179999999999999</v>
      </c>
      <c r="I118" s="43">
        <v>1</v>
      </c>
      <c r="J118" s="43"/>
    </row>
    <row r="119" spans="2:10">
      <c r="B119" s="332" t="s">
        <v>472</v>
      </c>
      <c r="C119" s="332" t="s">
        <v>871</v>
      </c>
      <c r="D119" s="333">
        <v>44643</v>
      </c>
      <c r="E119" s="333">
        <v>45975</v>
      </c>
      <c r="F119" s="334">
        <v>0</v>
      </c>
      <c r="G119" s="334">
        <v>1E-4</v>
      </c>
      <c r="H119" s="334">
        <v>0.63500000000000001</v>
      </c>
      <c r="I119" s="43">
        <v>1</v>
      </c>
      <c r="J119" s="43"/>
    </row>
    <row r="120" spans="2:10">
      <c r="B120" s="332" t="s">
        <v>472</v>
      </c>
      <c r="C120" s="332" t="s">
        <v>871</v>
      </c>
      <c r="D120" s="333">
        <v>44643</v>
      </c>
      <c r="E120" s="333">
        <v>45995</v>
      </c>
      <c r="F120" s="334">
        <v>0</v>
      </c>
      <c r="G120" s="334">
        <v>0</v>
      </c>
      <c r="H120" s="335">
        <v>0.32790000000000002</v>
      </c>
      <c r="I120" s="43">
        <v>1</v>
      </c>
      <c r="J120" s="43"/>
    </row>
    <row r="121" spans="2:10">
      <c r="B121" s="332" t="s">
        <v>472</v>
      </c>
      <c r="C121" s="332" t="s">
        <v>851</v>
      </c>
      <c r="D121" s="333">
        <v>44665</v>
      </c>
      <c r="E121" s="333">
        <v>45960</v>
      </c>
      <c r="F121" s="334">
        <v>1E-4</v>
      </c>
      <c r="G121" s="334">
        <v>1.21E-2</v>
      </c>
      <c r="H121" s="334">
        <v>0.6845</v>
      </c>
      <c r="I121" s="43">
        <v>1</v>
      </c>
      <c r="J121" s="43"/>
    </row>
    <row r="122" spans="2:10">
      <c r="B122" s="332" t="s">
        <v>472</v>
      </c>
      <c r="C122" s="332" t="s">
        <v>851</v>
      </c>
      <c r="D122" s="333">
        <v>44665</v>
      </c>
      <c r="E122" s="336">
        <v>46112</v>
      </c>
      <c r="F122" s="334">
        <v>0</v>
      </c>
      <c r="G122" s="334">
        <v>2.9999999999999997E-4</v>
      </c>
      <c r="H122" s="335">
        <v>8.1000000000000003E-2</v>
      </c>
      <c r="I122" s="43">
        <f>H122+(1-H122)/2</f>
        <v>0.54049999999999998</v>
      </c>
      <c r="J122" s="43"/>
    </row>
    <row r="123" spans="2:10">
      <c r="B123" s="332" t="s">
        <v>472</v>
      </c>
      <c r="C123" s="332" t="s">
        <v>851</v>
      </c>
      <c r="D123" s="333">
        <v>44717</v>
      </c>
      <c r="E123" s="333">
        <v>45632</v>
      </c>
      <c r="F123" s="334">
        <v>3.8999999999999998E-3</v>
      </c>
      <c r="G123" s="335">
        <v>0.33489999999999998</v>
      </c>
      <c r="H123" s="335">
        <v>1</v>
      </c>
      <c r="I123" s="43">
        <v>1</v>
      </c>
      <c r="J123" s="43"/>
    </row>
    <row r="124" spans="2:10">
      <c r="B124" s="332" t="s">
        <v>472</v>
      </c>
      <c r="C124" s="332" t="s">
        <v>851</v>
      </c>
      <c r="D124" s="333">
        <v>44717</v>
      </c>
      <c r="E124" s="333">
        <v>45664</v>
      </c>
      <c r="F124" s="334">
        <v>0</v>
      </c>
      <c r="G124" s="335">
        <v>0.29609999999999997</v>
      </c>
      <c r="H124" s="335">
        <v>0.98280000000000001</v>
      </c>
      <c r="I124" s="43">
        <v>1</v>
      </c>
      <c r="J124" s="43"/>
    </row>
    <row r="125" spans="2:10">
      <c r="B125" s="332" t="s">
        <v>472</v>
      </c>
      <c r="C125" s="332" t="s">
        <v>851</v>
      </c>
      <c r="D125" s="333">
        <v>44717</v>
      </c>
      <c r="E125" s="333">
        <v>45718</v>
      </c>
      <c r="F125" s="334">
        <v>0</v>
      </c>
      <c r="G125" s="335">
        <v>0.184</v>
      </c>
      <c r="H125" s="335">
        <v>0.94910000000000005</v>
      </c>
      <c r="I125" s="43">
        <v>1</v>
      </c>
      <c r="J125" s="43"/>
    </row>
    <row r="126" spans="2:10">
      <c r="B126" s="332" t="s">
        <v>472</v>
      </c>
      <c r="C126" s="332" t="s">
        <v>851</v>
      </c>
      <c r="D126" s="333">
        <v>44717</v>
      </c>
      <c r="E126" s="333">
        <v>45753</v>
      </c>
      <c r="F126" s="334">
        <v>0</v>
      </c>
      <c r="G126" s="335">
        <v>7.8100000000000003E-2</v>
      </c>
      <c r="H126" s="335">
        <v>0.92820000000000003</v>
      </c>
      <c r="I126" s="43">
        <v>1</v>
      </c>
      <c r="J126" s="43"/>
    </row>
    <row r="127" spans="2:10">
      <c r="B127" s="332" t="s">
        <v>472</v>
      </c>
      <c r="C127" s="332" t="s">
        <v>861</v>
      </c>
      <c r="D127" s="333">
        <v>44720</v>
      </c>
      <c r="E127" s="336">
        <v>46140</v>
      </c>
      <c r="F127" s="334">
        <v>0</v>
      </c>
      <c r="G127" s="334">
        <v>5.0000000000000001E-4</v>
      </c>
      <c r="H127" s="335">
        <v>2.8500000000000001E-2</v>
      </c>
      <c r="I127" s="43">
        <f t="shared" ref="I127:I129" si="2">H127+(1-H127)/2</f>
        <v>0.51424999999999998</v>
      </c>
      <c r="J127" s="43"/>
    </row>
    <row r="128" spans="2:10">
      <c r="B128" s="332" t="s">
        <v>472</v>
      </c>
      <c r="C128" s="332" t="s">
        <v>861</v>
      </c>
      <c r="D128" s="333">
        <v>44720</v>
      </c>
      <c r="E128" s="336">
        <v>46161</v>
      </c>
      <c r="F128" s="334">
        <v>0</v>
      </c>
      <c r="G128" s="334">
        <v>2.9999999999999997E-4</v>
      </c>
      <c r="H128" s="335">
        <v>1.52E-2</v>
      </c>
      <c r="I128" s="43">
        <f t="shared" si="2"/>
        <v>0.50760000000000005</v>
      </c>
      <c r="J128" s="43"/>
    </row>
    <row r="129" spans="2:10">
      <c r="B129" s="332" t="s">
        <v>472</v>
      </c>
      <c r="C129" s="332" t="s">
        <v>851</v>
      </c>
      <c r="D129" s="333">
        <v>44785</v>
      </c>
      <c r="E129" s="336">
        <v>46231</v>
      </c>
      <c r="F129" s="334">
        <v>0</v>
      </c>
      <c r="G129" s="334">
        <v>2.0000000000000001E-4</v>
      </c>
      <c r="H129" s="335">
        <v>8.0000000000000002E-3</v>
      </c>
      <c r="I129" s="43">
        <f t="shared" si="2"/>
        <v>0.504</v>
      </c>
      <c r="J129" s="43"/>
    </row>
    <row r="130" spans="2:10">
      <c r="B130" s="332" t="s">
        <v>472</v>
      </c>
      <c r="C130" s="332" t="s">
        <v>851</v>
      </c>
      <c r="D130" s="333">
        <v>44809</v>
      </c>
      <c r="E130" s="333">
        <v>45763</v>
      </c>
      <c r="F130" s="334">
        <v>2.0000000000000001E-4</v>
      </c>
      <c r="G130" s="335">
        <v>5.6000000000000001E-2</v>
      </c>
      <c r="H130" s="335">
        <v>0.90210000000000001</v>
      </c>
      <c r="I130" s="43">
        <v>1</v>
      </c>
      <c r="J130" s="43"/>
    </row>
    <row r="131" spans="2:10">
      <c r="B131" s="332" t="s">
        <v>472</v>
      </c>
      <c r="C131" s="332" t="s">
        <v>851</v>
      </c>
      <c r="D131" s="333">
        <v>44809</v>
      </c>
      <c r="E131" s="333">
        <v>45815</v>
      </c>
      <c r="F131" s="334">
        <v>0</v>
      </c>
      <c r="G131" s="334">
        <v>1.6799999999999999E-2</v>
      </c>
      <c r="H131" s="334">
        <v>0.86890000000000001</v>
      </c>
      <c r="I131" s="43">
        <v>1</v>
      </c>
      <c r="J131" s="43"/>
    </row>
    <row r="132" spans="2:10">
      <c r="B132" s="332" t="s">
        <v>472</v>
      </c>
      <c r="C132" s="332" t="s">
        <v>851</v>
      </c>
      <c r="D132" s="333">
        <v>44809</v>
      </c>
      <c r="E132" s="333">
        <v>45837</v>
      </c>
      <c r="F132" s="334">
        <v>0</v>
      </c>
      <c r="G132" s="334">
        <v>6.0000000000000001E-3</v>
      </c>
      <c r="H132" s="334">
        <v>0.81320000000000003</v>
      </c>
      <c r="I132" s="43">
        <v>1</v>
      </c>
      <c r="J132" s="43"/>
    </row>
    <row r="133" spans="2:10">
      <c r="B133" s="332" t="s">
        <v>472</v>
      </c>
      <c r="C133" s="332" t="s">
        <v>851</v>
      </c>
      <c r="D133" s="333">
        <v>44809</v>
      </c>
      <c r="E133" s="333">
        <v>45879</v>
      </c>
      <c r="F133" s="334">
        <v>0</v>
      </c>
      <c r="G133" s="334">
        <v>1.4E-3</v>
      </c>
      <c r="H133" s="334">
        <v>0.78359999999999996</v>
      </c>
      <c r="I133" s="43">
        <v>1</v>
      </c>
      <c r="J133" s="43"/>
    </row>
    <row r="134" spans="2:10">
      <c r="B134" s="332" t="s">
        <v>472</v>
      </c>
      <c r="C134" s="332" t="s">
        <v>851</v>
      </c>
      <c r="D134" s="333">
        <v>44809</v>
      </c>
      <c r="E134" s="333">
        <v>45974</v>
      </c>
      <c r="F134" s="334">
        <v>0</v>
      </c>
      <c r="G134" s="334">
        <v>0</v>
      </c>
      <c r="H134" s="334">
        <v>0.42030000000000001</v>
      </c>
      <c r="I134" s="43">
        <v>1</v>
      </c>
      <c r="J134" s="43"/>
    </row>
    <row r="135" spans="2:10">
      <c r="B135" s="332" t="s">
        <v>472</v>
      </c>
      <c r="C135" s="332" t="s">
        <v>851</v>
      </c>
      <c r="D135" s="333">
        <v>44809</v>
      </c>
      <c r="E135" s="333">
        <v>45974</v>
      </c>
      <c r="F135" s="334">
        <v>0</v>
      </c>
      <c r="G135" s="334">
        <v>1E-4</v>
      </c>
      <c r="H135" s="334">
        <v>0.42420000000000002</v>
      </c>
      <c r="I135" s="43">
        <v>1</v>
      </c>
      <c r="J135" s="43"/>
    </row>
    <row r="136" spans="2:10">
      <c r="B136" s="332" t="s">
        <v>472</v>
      </c>
      <c r="C136" s="332" t="s">
        <v>851</v>
      </c>
      <c r="D136" s="333">
        <v>44809</v>
      </c>
      <c r="E136" s="336">
        <v>46078</v>
      </c>
      <c r="F136" s="334">
        <v>0</v>
      </c>
      <c r="G136" s="334">
        <v>1E-4</v>
      </c>
      <c r="H136" s="335">
        <v>0.10440000000000001</v>
      </c>
      <c r="I136" s="43">
        <f t="shared" ref="I136:I138" si="3">H136+(1-H136)/2</f>
        <v>0.55220000000000002</v>
      </c>
      <c r="J136" s="43"/>
    </row>
    <row r="137" spans="2:10">
      <c r="B137" s="332" t="s">
        <v>472</v>
      </c>
      <c r="C137" s="332" t="s">
        <v>861</v>
      </c>
      <c r="D137" s="333">
        <v>44825</v>
      </c>
      <c r="E137" s="336">
        <v>46112</v>
      </c>
      <c r="F137" s="334">
        <v>0</v>
      </c>
      <c r="G137" s="334">
        <v>0</v>
      </c>
      <c r="H137" s="335">
        <v>5.2999999999999999E-2</v>
      </c>
      <c r="I137" s="43">
        <f t="shared" si="3"/>
        <v>0.52649999999999997</v>
      </c>
      <c r="J137" s="43"/>
    </row>
    <row r="138" spans="2:10">
      <c r="B138" s="332" t="s">
        <v>472</v>
      </c>
      <c r="C138" s="332" t="s">
        <v>861</v>
      </c>
      <c r="D138" s="333">
        <v>44825</v>
      </c>
      <c r="E138" s="336">
        <v>46189</v>
      </c>
      <c r="F138" s="334">
        <v>0</v>
      </c>
      <c r="G138" s="334">
        <v>0</v>
      </c>
      <c r="H138" s="335">
        <v>5.5999999999999999E-3</v>
      </c>
      <c r="I138" s="43">
        <f t="shared" si="3"/>
        <v>0.50280000000000002</v>
      </c>
      <c r="J138" s="43"/>
    </row>
    <row r="139" spans="2:10">
      <c r="B139" s="332" t="s">
        <v>472</v>
      </c>
      <c r="C139" s="332" t="s">
        <v>861</v>
      </c>
      <c r="D139" s="333">
        <v>44834</v>
      </c>
      <c r="E139" s="333">
        <v>45926</v>
      </c>
      <c r="F139" s="334">
        <v>1E-4</v>
      </c>
      <c r="G139" s="334">
        <v>1.29E-2</v>
      </c>
      <c r="H139" s="334">
        <v>0.66700000000000004</v>
      </c>
      <c r="I139" s="43">
        <v>1</v>
      </c>
      <c r="J139" s="43"/>
    </row>
    <row r="140" spans="2:10">
      <c r="B140" s="332" t="s">
        <v>472</v>
      </c>
      <c r="C140" s="332" t="s">
        <v>861</v>
      </c>
      <c r="D140" s="333">
        <v>44834</v>
      </c>
      <c r="E140" s="333">
        <v>45930</v>
      </c>
      <c r="F140" s="334">
        <v>0</v>
      </c>
      <c r="G140" s="334">
        <v>4.0000000000000002E-4</v>
      </c>
      <c r="H140" s="334">
        <v>0.58230000000000004</v>
      </c>
      <c r="I140" s="43">
        <v>1</v>
      </c>
      <c r="J140" s="43"/>
    </row>
    <row r="141" spans="2:10">
      <c r="B141" s="332" t="s">
        <v>472</v>
      </c>
      <c r="C141" s="332" t="s">
        <v>851</v>
      </c>
      <c r="D141" s="333">
        <v>44834</v>
      </c>
      <c r="E141" s="336">
        <v>46052</v>
      </c>
      <c r="F141" s="334">
        <v>0</v>
      </c>
      <c r="G141" s="334">
        <v>4.0000000000000002E-4</v>
      </c>
      <c r="H141" s="335">
        <v>0.19919999999999999</v>
      </c>
      <c r="I141" s="43">
        <f t="shared" ref="I141:I148" si="4">H141+(1-H141)/2</f>
        <v>0.59959999999999991</v>
      </c>
      <c r="J141" s="43"/>
    </row>
    <row r="142" spans="2:10">
      <c r="B142" s="332" t="s">
        <v>472</v>
      </c>
      <c r="C142" s="332" t="s">
        <v>851</v>
      </c>
      <c r="D142" s="333">
        <v>44834</v>
      </c>
      <c r="E142" s="336">
        <v>46161</v>
      </c>
      <c r="F142" s="334">
        <v>0</v>
      </c>
      <c r="G142" s="334">
        <v>0</v>
      </c>
      <c r="H142" s="335">
        <v>9.4000000000000004E-3</v>
      </c>
      <c r="I142" s="43">
        <f t="shared" si="4"/>
        <v>0.50470000000000004</v>
      </c>
      <c r="J142" s="43"/>
    </row>
    <row r="143" spans="2:10">
      <c r="B143" s="332" t="s">
        <v>472</v>
      </c>
      <c r="C143" s="332" t="s">
        <v>861</v>
      </c>
      <c r="D143" s="333">
        <v>44834</v>
      </c>
      <c r="E143" s="336">
        <v>46211</v>
      </c>
      <c r="F143" s="334">
        <v>0</v>
      </c>
      <c r="G143" s="334">
        <v>0</v>
      </c>
      <c r="H143" s="335">
        <v>4.4000000000000003E-3</v>
      </c>
      <c r="I143" s="43">
        <f t="shared" si="4"/>
        <v>0.50219999999999998</v>
      </c>
      <c r="J143" s="43"/>
    </row>
    <row r="144" spans="2:10">
      <c r="B144" s="332" t="s">
        <v>472</v>
      </c>
      <c r="C144" s="332" t="s">
        <v>861</v>
      </c>
      <c r="D144" s="333">
        <v>44834</v>
      </c>
      <c r="E144" s="336">
        <v>46253</v>
      </c>
      <c r="F144" s="334">
        <v>0</v>
      </c>
      <c r="G144" s="334">
        <v>0</v>
      </c>
      <c r="H144" s="335">
        <v>3.7000000000000002E-3</v>
      </c>
      <c r="I144" s="43">
        <f t="shared" si="4"/>
        <v>0.50185000000000002</v>
      </c>
      <c r="J144" s="43"/>
    </row>
    <row r="145" spans="2:10">
      <c r="B145" s="332" t="s">
        <v>472</v>
      </c>
      <c r="C145" s="332" t="s">
        <v>871</v>
      </c>
      <c r="D145" s="333">
        <v>44854</v>
      </c>
      <c r="E145" s="336">
        <v>46211</v>
      </c>
      <c r="F145" s="334">
        <v>0</v>
      </c>
      <c r="G145" s="334">
        <v>2.0000000000000001E-4</v>
      </c>
      <c r="H145" s="335">
        <v>1.5599999999999999E-2</v>
      </c>
      <c r="I145" s="43">
        <f t="shared" si="4"/>
        <v>0.50780000000000003</v>
      </c>
      <c r="J145" s="43"/>
    </row>
    <row r="146" spans="2:10">
      <c r="B146" s="332" t="s">
        <v>472</v>
      </c>
      <c r="C146" s="332" t="s">
        <v>871</v>
      </c>
      <c r="D146" s="333">
        <v>44854</v>
      </c>
      <c r="E146" s="336">
        <v>46281</v>
      </c>
      <c r="F146" s="334">
        <v>0</v>
      </c>
      <c r="G146" s="334">
        <v>0</v>
      </c>
      <c r="H146" s="335">
        <v>2.0000000000000001E-4</v>
      </c>
      <c r="I146" s="43">
        <f t="shared" si="4"/>
        <v>0.50009999999999999</v>
      </c>
      <c r="J146" s="43"/>
    </row>
    <row r="147" spans="2:10">
      <c r="B147" s="332" t="s">
        <v>472</v>
      </c>
      <c r="C147" s="332" t="s">
        <v>851</v>
      </c>
      <c r="D147" s="333">
        <v>44869</v>
      </c>
      <c r="E147" s="336">
        <v>46274</v>
      </c>
      <c r="F147" s="334">
        <v>0</v>
      </c>
      <c r="G147" s="334">
        <v>0</v>
      </c>
      <c r="H147" s="335">
        <v>2.0000000000000001E-4</v>
      </c>
      <c r="I147" s="43">
        <f t="shared" si="4"/>
        <v>0.50009999999999999</v>
      </c>
      <c r="J147" s="43"/>
    </row>
    <row r="148" spans="2:10">
      <c r="B148" s="332" t="s">
        <v>472</v>
      </c>
      <c r="C148" s="332" t="s">
        <v>861</v>
      </c>
      <c r="D148" s="333">
        <v>44873</v>
      </c>
      <c r="E148" s="336">
        <v>46303</v>
      </c>
      <c r="F148" s="334">
        <v>0</v>
      </c>
      <c r="G148" s="334">
        <v>0</v>
      </c>
      <c r="H148" s="335">
        <v>1E-4</v>
      </c>
      <c r="I148" s="43">
        <f t="shared" si="4"/>
        <v>0.50004999999999999</v>
      </c>
      <c r="J148" s="43"/>
    </row>
    <row r="149" spans="2:10">
      <c r="B149" s="337" t="s">
        <v>472</v>
      </c>
      <c r="C149" s="337" t="s">
        <v>851</v>
      </c>
      <c r="D149" s="338">
        <v>44967</v>
      </c>
      <c r="E149" s="338">
        <v>46367</v>
      </c>
      <c r="F149" s="337" t="s">
        <v>31</v>
      </c>
      <c r="G149" s="339">
        <v>0</v>
      </c>
      <c r="H149" s="339">
        <v>0</v>
      </c>
    </row>
    <row r="150" spans="2:10">
      <c r="B150" s="337" t="s">
        <v>472</v>
      </c>
      <c r="C150" s="337" t="s">
        <v>861</v>
      </c>
      <c r="D150" s="338">
        <v>44998</v>
      </c>
      <c r="E150" s="338">
        <v>46409</v>
      </c>
      <c r="F150" s="337" t="s">
        <v>31</v>
      </c>
      <c r="G150" s="339">
        <v>0</v>
      </c>
      <c r="H150" s="339">
        <v>1E-4</v>
      </c>
    </row>
    <row r="151" spans="2:10">
      <c r="B151" s="337" t="s">
        <v>472</v>
      </c>
      <c r="C151" s="337" t="s">
        <v>861</v>
      </c>
      <c r="D151" s="338">
        <v>44998</v>
      </c>
      <c r="E151" s="338">
        <v>46450</v>
      </c>
      <c r="F151" s="337" t="s">
        <v>31</v>
      </c>
      <c r="G151" s="339">
        <v>0</v>
      </c>
      <c r="H151" s="339">
        <v>0</v>
      </c>
    </row>
    <row r="152" spans="2:10">
      <c r="B152" s="337" t="s">
        <v>472</v>
      </c>
      <c r="C152" s="337" t="s">
        <v>851</v>
      </c>
      <c r="D152" s="338">
        <v>45023</v>
      </c>
      <c r="E152" s="338">
        <v>46526</v>
      </c>
      <c r="F152" s="337" t="s">
        <v>31</v>
      </c>
      <c r="G152" s="339">
        <v>0</v>
      </c>
      <c r="H152" s="339">
        <v>1E-4</v>
      </c>
    </row>
    <row r="153" spans="2:10">
      <c r="B153" s="337" t="s">
        <v>472</v>
      </c>
      <c r="C153" s="337" t="s">
        <v>851</v>
      </c>
      <c r="D153" s="338">
        <v>45138</v>
      </c>
      <c r="E153" s="338">
        <v>46325</v>
      </c>
      <c r="F153" s="337" t="s">
        <v>31</v>
      </c>
      <c r="G153" s="339">
        <v>0</v>
      </c>
      <c r="H153" s="339">
        <v>0</v>
      </c>
    </row>
    <row r="154" spans="2:10">
      <c r="B154" s="337" t="s">
        <v>472</v>
      </c>
      <c r="C154" s="337" t="s">
        <v>851</v>
      </c>
      <c r="D154" s="338">
        <v>45473</v>
      </c>
      <c r="E154" s="338">
        <v>46863</v>
      </c>
      <c r="F154" s="337" t="s">
        <v>31</v>
      </c>
      <c r="G154" s="337" t="s">
        <v>31</v>
      </c>
      <c r="H154" s="339">
        <v>0</v>
      </c>
    </row>
    <row r="155" spans="2:10">
      <c r="B155" s="337" t="s">
        <v>472</v>
      </c>
      <c r="C155" s="337" t="s">
        <v>851</v>
      </c>
      <c r="D155" s="338">
        <v>45473</v>
      </c>
      <c r="E155" s="338">
        <v>46912</v>
      </c>
      <c r="F155" s="337" t="s">
        <v>31</v>
      </c>
      <c r="G155" s="337" t="s">
        <v>31</v>
      </c>
      <c r="H155" s="339">
        <v>0</v>
      </c>
    </row>
    <row r="156" spans="2:10">
      <c r="B156" s="337" t="s">
        <v>472</v>
      </c>
      <c r="C156" s="337" t="s">
        <v>851</v>
      </c>
      <c r="D156" s="338">
        <v>45473</v>
      </c>
      <c r="E156" s="338">
        <v>46954</v>
      </c>
      <c r="F156" s="337" t="s">
        <v>31</v>
      </c>
      <c r="G156" s="337" t="s">
        <v>31</v>
      </c>
      <c r="H156" s="339">
        <v>0</v>
      </c>
    </row>
    <row r="157" spans="2:10">
      <c r="B157" s="337" t="s">
        <v>472</v>
      </c>
      <c r="C157" s="337" t="s">
        <v>851</v>
      </c>
      <c r="D157" s="338">
        <v>45473</v>
      </c>
      <c r="E157" s="338">
        <v>46996</v>
      </c>
      <c r="F157" s="337" t="s">
        <v>31</v>
      </c>
      <c r="G157" s="337" t="s">
        <v>31</v>
      </c>
      <c r="H157" s="339">
        <v>0</v>
      </c>
    </row>
    <row r="158" spans="2:10">
      <c r="B158" s="337" t="s">
        <v>472</v>
      </c>
      <c r="C158" s="337" t="s">
        <v>851</v>
      </c>
      <c r="D158" s="338">
        <v>45565</v>
      </c>
      <c r="E158" s="338">
        <v>46645</v>
      </c>
      <c r="F158" s="337" t="s">
        <v>31</v>
      </c>
      <c r="G158" s="337" t="s">
        <v>31</v>
      </c>
      <c r="H158" s="339">
        <v>0</v>
      </c>
    </row>
  </sheetData>
  <phoneticPr fontId="69"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B1:L6"/>
  <sheetViews>
    <sheetView workbookViewId="0"/>
  </sheetViews>
  <sheetFormatPr defaultColWidth="12.6640625" defaultRowHeight="15.75" customHeight="1"/>
  <sheetData>
    <row r="1" spans="2:12">
      <c r="B1" s="204"/>
      <c r="C1" s="88" t="s">
        <v>472</v>
      </c>
      <c r="D1" s="88" t="s">
        <v>1049</v>
      </c>
      <c r="E1" s="88" t="s">
        <v>476</v>
      </c>
      <c r="F1" s="88" t="s">
        <v>1050</v>
      </c>
      <c r="G1" s="88" t="s">
        <v>1051</v>
      </c>
      <c r="H1" s="88" t="s">
        <v>561</v>
      </c>
      <c r="I1" s="88" t="s">
        <v>489</v>
      </c>
      <c r="J1" s="88" t="s">
        <v>1052</v>
      </c>
      <c r="K1" s="88" t="s">
        <v>1053</v>
      </c>
      <c r="L1" s="88" t="s">
        <v>1054</v>
      </c>
    </row>
    <row r="2" spans="2:12">
      <c r="B2" s="204" t="s">
        <v>384</v>
      </c>
      <c r="C2" s="181">
        <v>2</v>
      </c>
      <c r="D2" s="88"/>
      <c r="E2" s="88"/>
      <c r="F2" s="88"/>
      <c r="G2" s="88"/>
      <c r="H2" s="181">
        <v>10</v>
      </c>
      <c r="I2" s="88"/>
      <c r="J2" s="88"/>
      <c r="K2" s="88"/>
      <c r="L2" s="88"/>
    </row>
    <row r="3" spans="2:12">
      <c r="B3" s="204" t="s">
        <v>1055</v>
      </c>
      <c r="C3" s="88"/>
      <c r="D3" s="88"/>
      <c r="E3" s="181">
        <v>2</v>
      </c>
      <c r="F3" s="88"/>
      <c r="G3" s="88"/>
      <c r="H3" s="181">
        <v>2</v>
      </c>
      <c r="I3" s="181">
        <v>2</v>
      </c>
      <c r="J3" s="181">
        <v>5</v>
      </c>
      <c r="K3" s="181">
        <v>1</v>
      </c>
      <c r="L3" s="88"/>
    </row>
    <row r="4" spans="2:12">
      <c r="B4" s="204" t="s">
        <v>383</v>
      </c>
      <c r="C4" s="181">
        <v>9</v>
      </c>
      <c r="D4" s="88"/>
      <c r="E4" s="88"/>
      <c r="F4" s="181">
        <v>9</v>
      </c>
      <c r="G4" s="181">
        <v>2</v>
      </c>
      <c r="H4" s="181">
        <v>9</v>
      </c>
      <c r="I4" s="88"/>
      <c r="J4" s="88"/>
      <c r="K4" s="88"/>
      <c r="L4" s="181">
        <v>1</v>
      </c>
    </row>
    <row r="6" spans="2:12">
      <c r="B6" s="1" t="s">
        <v>385</v>
      </c>
      <c r="C6" s="181">
        <v>13</v>
      </c>
      <c r="E6" s="181">
        <v>11</v>
      </c>
      <c r="F6" s="88"/>
      <c r="G6" s="88"/>
      <c r="H6" s="181">
        <v>17</v>
      </c>
    </row>
  </sheetData>
  <phoneticPr fontId="69"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ummaryRight="0"/>
  </sheetPr>
  <dimension ref="A1:E11"/>
  <sheetViews>
    <sheetView workbookViewId="0"/>
  </sheetViews>
  <sheetFormatPr defaultColWidth="12.6640625" defaultRowHeight="15.75" customHeight="1"/>
  <cols>
    <col min="1" max="5" width="12.6640625" customWidth="1"/>
  </cols>
  <sheetData>
    <row r="1" spans="1:5" ht="225" customHeight="1"/>
    <row r="3" spans="1:5" ht="22.5" customHeight="1">
      <c r="A3" s="26" t="s">
        <v>607</v>
      </c>
      <c r="B3" s="26" t="s">
        <v>560</v>
      </c>
      <c r="C3" s="26" t="s">
        <v>561</v>
      </c>
      <c r="D3" s="26" t="s">
        <v>562</v>
      </c>
      <c r="E3" s="26" t="s">
        <v>134</v>
      </c>
    </row>
    <row r="4" spans="1:5" ht="22.5" customHeight="1">
      <c r="A4" s="36" t="s">
        <v>574</v>
      </c>
      <c r="B4" s="36">
        <v>0.16399999999999901</v>
      </c>
      <c r="C4" s="36">
        <v>0.19500000000000001</v>
      </c>
      <c r="D4" s="36">
        <v>0.24299999999999999</v>
      </c>
      <c r="E4" s="36">
        <v>0.185</v>
      </c>
    </row>
    <row r="5" spans="1:5" ht="22.5" customHeight="1">
      <c r="A5" s="36" t="s">
        <v>569</v>
      </c>
      <c r="B5" s="36">
        <v>0.2</v>
      </c>
      <c r="C5" s="36">
        <v>0.15</v>
      </c>
      <c r="D5" s="36">
        <v>0.10299999999999999</v>
      </c>
      <c r="E5" s="36">
        <v>0.17899999999999999</v>
      </c>
    </row>
    <row r="6" spans="1:5" ht="22.5" customHeight="1">
      <c r="A6" s="36" t="s">
        <v>572</v>
      </c>
      <c r="B6" s="36">
        <v>9.5000000000000001E-2</v>
      </c>
      <c r="C6" s="36">
        <v>0.12</v>
      </c>
      <c r="D6" s="36">
        <v>6.2E-2</v>
      </c>
      <c r="E6" s="36">
        <v>9.1999999999999998E-2</v>
      </c>
    </row>
    <row r="7" spans="1:5" ht="22.5" customHeight="1">
      <c r="A7" s="36" t="s">
        <v>582</v>
      </c>
      <c r="B7" s="36">
        <v>6.0999999999999999E-2</v>
      </c>
      <c r="C7" s="36">
        <v>8.5000000000000006E-2</v>
      </c>
      <c r="D7" s="36">
        <v>0.115</v>
      </c>
      <c r="E7" s="36">
        <v>8.3000000000000004E-2</v>
      </c>
    </row>
    <row r="8" spans="1:5" ht="22.5" customHeight="1">
      <c r="A8" s="36" t="s">
        <v>581</v>
      </c>
      <c r="B8" s="36">
        <v>4.8000000000000001E-2</v>
      </c>
      <c r="C8" s="36">
        <v>3.5999999999999997E-2</v>
      </c>
      <c r="D8" s="36">
        <v>2.3E-2</v>
      </c>
      <c r="E8" s="36">
        <v>3.5999999999999997E-2</v>
      </c>
    </row>
    <row r="9" spans="1:5" ht="22.5" customHeight="1">
      <c r="A9" s="36" t="s">
        <v>576</v>
      </c>
      <c r="B9" s="36">
        <v>3.7999999999999999E-2</v>
      </c>
      <c r="C9" s="36">
        <v>1.9E-2</v>
      </c>
      <c r="D9" s="36">
        <v>5.3999999999999999E-2</v>
      </c>
      <c r="E9" s="36">
        <v>3.4000000000000002E-2</v>
      </c>
    </row>
    <row r="10" spans="1:5" ht="22.5" customHeight="1">
      <c r="A10" s="36" t="s">
        <v>580</v>
      </c>
      <c r="B10" s="36">
        <v>6.9999999999999897E-3</v>
      </c>
      <c r="C10" s="36">
        <v>2.3E-2</v>
      </c>
      <c r="D10" s="36">
        <v>1.39999999999999E-2</v>
      </c>
      <c r="E10" s="36">
        <v>1.2999999999999999E-2</v>
      </c>
    </row>
    <row r="11" spans="1:5" ht="22.5" customHeight="1">
      <c r="A11" s="36" t="s">
        <v>578</v>
      </c>
      <c r="B11" s="36">
        <v>8.9999999999999993E-3</v>
      </c>
      <c r="C11" s="36">
        <v>0.01</v>
      </c>
      <c r="D11" s="36">
        <v>6.0000000000000001E-3</v>
      </c>
      <c r="E11" s="36">
        <v>8.9999999999999993E-3</v>
      </c>
    </row>
  </sheetData>
  <phoneticPr fontId="69" type="noConversion"/>
  <dataValidations count="1">
    <dataValidation type="custom" allowBlank="1" showDropDown="1" sqref="B4:E11" xr:uid="{00000000-0002-0000-0C00-000000000000}">
      <formula1>AND(ISNUMBER(B4),(NOT(OR(NOT(ISERROR(DATEVALUE(B4))), AND(ISNUMBER(B4), LEFT(CELL("format", B4))="D")))))</formula1>
    </dataValidation>
  </dataValidations>
  <pageMargins left="0.7" right="0.7" top="0.75" bottom="0.75" header="0.3" footer="0.3"/>
  <drawing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Below="0" summaryRight="0"/>
  </sheetPr>
  <dimension ref="A1:M13"/>
  <sheetViews>
    <sheetView workbookViewId="0"/>
  </sheetViews>
  <sheetFormatPr defaultColWidth="12.6640625" defaultRowHeight="15.75" customHeight="1"/>
  <sheetData>
    <row r="1" spans="1:13">
      <c r="A1" s="1" t="s">
        <v>1056</v>
      </c>
    </row>
    <row r="2" spans="1:13">
      <c r="A2" s="1"/>
    </row>
    <row r="3" spans="1:13">
      <c r="A3" s="1" t="s">
        <v>1057</v>
      </c>
    </row>
    <row r="4" spans="1:13">
      <c r="A4" s="1" t="s">
        <v>1058</v>
      </c>
    </row>
    <row r="5" spans="1:13">
      <c r="A5" s="1" t="s">
        <v>1059</v>
      </c>
    </row>
    <row r="6" spans="1:13">
      <c r="A6" s="1" t="s">
        <v>1060</v>
      </c>
    </row>
    <row r="8" spans="1:13">
      <c r="A8" s="1" t="s">
        <v>1061</v>
      </c>
      <c r="G8" s="1" t="s">
        <v>1062</v>
      </c>
      <c r="H8" s="1" t="s">
        <v>1063</v>
      </c>
      <c r="I8" s="1" t="s">
        <v>1064</v>
      </c>
      <c r="J8" s="179" t="s">
        <v>386</v>
      </c>
      <c r="K8" s="1" t="s">
        <v>1065</v>
      </c>
      <c r="L8" s="179" t="s">
        <v>1066</v>
      </c>
      <c r="M8" s="179" t="s">
        <v>387</v>
      </c>
    </row>
    <row r="9" spans="1:13">
      <c r="A9" s="1" t="s">
        <v>1067</v>
      </c>
      <c r="B9" s="340"/>
      <c r="G9" s="1" t="s">
        <v>383</v>
      </c>
      <c r="H9" s="41">
        <v>21900</v>
      </c>
      <c r="I9" s="1">
        <v>509</v>
      </c>
      <c r="J9" s="179">
        <f t="shared" ref="J9:J11" si="0">H9/(I9*4/3)</f>
        <v>32.26915520628684</v>
      </c>
      <c r="K9" s="41">
        <v>5640</v>
      </c>
      <c r="L9" s="179">
        <f t="shared" ref="L9:L11" si="1">H9/K9</f>
        <v>3.8829787234042552</v>
      </c>
      <c r="M9" s="179">
        <v>65.56</v>
      </c>
    </row>
    <row r="10" spans="1:13">
      <c r="A10" s="1" t="s">
        <v>1068</v>
      </c>
      <c r="G10" s="1" t="s">
        <v>1069</v>
      </c>
      <c r="H10" s="41">
        <v>411000</v>
      </c>
      <c r="I10" s="41">
        <v>8948</v>
      </c>
      <c r="J10" s="179">
        <f t="shared" si="0"/>
        <v>34.449038891372375</v>
      </c>
      <c r="K10" s="41">
        <v>175891</v>
      </c>
      <c r="L10" s="179">
        <f t="shared" si="1"/>
        <v>2.3366744176791308</v>
      </c>
      <c r="M10" s="179">
        <v>17.79</v>
      </c>
    </row>
    <row r="11" spans="1:13">
      <c r="G11" s="1" t="s">
        <v>384</v>
      </c>
      <c r="H11" s="41">
        <v>515000</v>
      </c>
      <c r="I11" s="41">
        <v>4853</v>
      </c>
      <c r="J11" s="179">
        <f t="shared" si="0"/>
        <v>79.589944364310739</v>
      </c>
      <c r="K11" s="41">
        <v>72826</v>
      </c>
      <c r="L11" s="179">
        <f t="shared" si="1"/>
        <v>7.0716502348062509</v>
      </c>
      <c r="M11" s="179">
        <v>66.27</v>
      </c>
    </row>
    <row r="12" spans="1:13">
      <c r="A12" s="1" t="s">
        <v>1070</v>
      </c>
      <c r="G12" s="1" t="s">
        <v>1071</v>
      </c>
      <c r="J12" s="1">
        <f>AVERAGE(J9:J11)</f>
        <v>48.769379487323327</v>
      </c>
      <c r="L12" s="1">
        <f t="shared" ref="L12:M12" si="2">AVERAGE(L9:L11)</f>
        <v>4.4304344586298789</v>
      </c>
      <c r="M12" s="1">
        <f t="shared" si="2"/>
        <v>49.873333333333335</v>
      </c>
    </row>
    <row r="13" spans="1:13">
      <c r="A13" s="1" t="s">
        <v>1072</v>
      </c>
      <c r="G13" s="340">
        <v>45261</v>
      </c>
      <c r="J13" s="1">
        <v>33.15</v>
      </c>
      <c r="L13" s="1">
        <v>1.79</v>
      </c>
      <c r="M13" s="1" t="s">
        <v>1073</v>
      </c>
    </row>
  </sheetData>
  <phoneticPr fontId="69"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outlinePr summaryBelow="0" summaryRight="0"/>
  </sheetPr>
  <dimension ref="A1:G13"/>
  <sheetViews>
    <sheetView workbookViewId="0"/>
  </sheetViews>
  <sheetFormatPr defaultColWidth="12.6640625" defaultRowHeight="15.75" customHeight="1"/>
  <cols>
    <col min="1" max="2" width="12.6640625" customWidth="1"/>
    <col min="4" max="4" width="9.44140625" customWidth="1"/>
    <col min="5" max="5" width="17.44140625" customWidth="1"/>
    <col min="6" max="6" width="9.44140625" customWidth="1"/>
    <col min="7" max="7" width="17.44140625" customWidth="1"/>
  </cols>
  <sheetData>
    <row r="1" spans="1:7" ht="225" customHeight="1"/>
    <row r="2" spans="1:7" ht="22.5" customHeight="1">
      <c r="D2" s="26" t="s">
        <v>1074</v>
      </c>
      <c r="E2" s="26" t="s">
        <v>1075</v>
      </c>
      <c r="G2" s="1" t="s">
        <v>1076</v>
      </c>
    </row>
    <row r="3" spans="1:7" ht="22.5" customHeight="1">
      <c r="A3" s="26" t="s">
        <v>1077</v>
      </c>
      <c r="B3" s="26" t="s">
        <v>1078</v>
      </c>
      <c r="D3" s="36" t="s">
        <v>1079</v>
      </c>
      <c r="E3" s="37">
        <v>0.63</v>
      </c>
      <c r="G3" s="341" t="s">
        <v>1080</v>
      </c>
    </row>
    <row r="4" spans="1:7" ht="22.5" customHeight="1">
      <c r="A4" s="36" t="s">
        <v>582</v>
      </c>
      <c r="B4" s="36">
        <v>16</v>
      </c>
      <c r="D4" s="36" t="s">
        <v>1081</v>
      </c>
      <c r="E4" s="37">
        <v>0.21</v>
      </c>
    </row>
    <row r="5" spans="1:7" ht="22.5" customHeight="1">
      <c r="A5" s="36" t="s">
        <v>1082</v>
      </c>
      <c r="B5" s="36">
        <v>63</v>
      </c>
      <c r="D5" s="36" t="s">
        <v>1083</v>
      </c>
      <c r="E5" s="37">
        <v>0.16</v>
      </c>
    </row>
    <row r="6" spans="1:7" ht="22.5" customHeight="1">
      <c r="A6" s="36" t="s">
        <v>1084</v>
      </c>
      <c r="B6" s="36">
        <v>21</v>
      </c>
    </row>
    <row r="10" spans="1:7" ht="13.2">
      <c r="F10" s="1"/>
      <c r="G10" s="1"/>
    </row>
    <row r="11" spans="1:7" ht="13.2">
      <c r="F11" s="1"/>
      <c r="G11" s="1"/>
    </row>
    <row r="12" spans="1:7" ht="13.2">
      <c r="F12" s="1"/>
      <c r="G12" s="1"/>
    </row>
    <row r="13" spans="1:7" ht="13.2">
      <c r="F13" s="1"/>
      <c r="G13" s="1"/>
    </row>
  </sheetData>
  <phoneticPr fontId="69" type="noConversion"/>
  <dataValidations count="1">
    <dataValidation type="custom" allowBlank="1" showDropDown="1" sqref="E3:E5 B4:B6" xr:uid="{00000000-0002-0000-0E00-000000000000}">
      <formula1>AND(ISNUMBER(B3),(NOT(OR(NOT(ISERROR(DATEVALUE(B3))), AND(ISNUMBER(B3), LEFT(CELL("format", B3))="D")))))</formula1>
    </dataValidation>
  </dataValidations>
  <pageMargins left="0.7" right="0.7" top="0.75" bottom="0.75" header="0.3" footer="0.3"/>
  <drawing r:id="rId1"/>
  <tableParts count="2">
    <tablePart r:id="rId2"/>
    <tablePart r:id="rId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M992"/>
  <sheetViews>
    <sheetView workbookViewId="0"/>
  </sheetViews>
  <sheetFormatPr defaultColWidth="12.6640625" defaultRowHeight="15.75" customHeight="1"/>
  <cols>
    <col min="3" max="3" width="17.33203125" customWidth="1"/>
    <col min="4" max="4" width="14.88671875" customWidth="1"/>
    <col min="5" max="5" width="14.109375" customWidth="1"/>
    <col min="7" max="7" width="13" customWidth="1"/>
  </cols>
  <sheetData>
    <row r="1" spans="1:7">
      <c r="A1" s="1" t="s">
        <v>138</v>
      </c>
      <c r="B1" s="1" t="s">
        <v>1</v>
      </c>
      <c r="D1" s="3"/>
      <c r="E1" s="3"/>
      <c r="F1" s="3"/>
      <c r="G1" s="3"/>
    </row>
    <row r="2" spans="1:7">
      <c r="A2" s="1" t="s">
        <v>2</v>
      </c>
      <c r="B2" s="4" t="s">
        <v>139</v>
      </c>
      <c r="C2" s="77"/>
      <c r="D2" s="6">
        <v>2024</v>
      </c>
      <c r="E2" s="6" t="s">
        <v>4</v>
      </c>
      <c r="F2" s="6" t="s">
        <v>5</v>
      </c>
      <c r="G2" s="7" t="s">
        <v>6</v>
      </c>
    </row>
    <row r="3" spans="1:7">
      <c r="B3" s="11" t="s">
        <v>37</v>
      </c>
      <c r="D3" s="12">
        <f t="shared" ref="D3:G3" si="0">D23</f>
        <v>10776004933627</v>
      </c>
      <c r="E3" s="12">
        <f t="shared" si="0"/>
        <v>10568984689473.686</v>
      </c>
      <c r="F3" s="12">
        <f t="shared" si="0"/>
        <v>13567232795789.475</v>
      </c>
      <c r="G3" s="13">
        <f t="shared" si="0"/>
        <v>17084122665000</v>
      </c>
    </row>
    <row r="4" spans="1:7">
      <c r="B4" s="11"/>
      <c r="C4" s="1" t="s">
        <v>140</v>
      </c>
      <c r="D4" s="78">
        <f>D3/7408312265643-1</f>
        <v>0.4545829802021315</v>
      </c>
      <c r="E4" s="78">
        <f t="shared" ref="E4:G4" si="1">E3/D3-1</f>
        <v>-1.9211223958082946E-2</v>
      </c>
      <c r="F4" s="78">
        <f t="shared" si="1"/>
        <v>0.28368364553521697</v>
      </c>
      <c r="G4" s="79">
        <f t="shared" si="1"/>
        <v>0.25921939441490061</v>
      </c>
    </row>
    <row r="5" spans="1:7">
      <c r="B5" s="11" t="s">
        <v>85</v>
      </c>
      <c r="D5" s="12">
        <f t="shared" ref="D5:G5" si="2">D24</f>
        <v>10092078699901</v>
      </c>
      <c r="E5" s="12">
        <f t="shared" si="2"/>
        <v>9912180411411.9961</v>
      </c>
      <c r="F5" s="12">
        <f t="shared" si="2"/>
        <v>10801598777630.166</v>
      </c>
      <c r="G5" s="13">
        <f t="shared" si="2"/>
        <v>11773155069926.635</v>
      </c>
    </row>
    <row r="6" spans="1:7">
      <c r="B6" s="80" t="s">
        <v>141</v>
      </c>
      <c r="C6" s="81"/>
      <c r="D6" s="82">
        <f t="shared" ref="D6:G6" si="3">D25</f>
        <v>683926233726</v>
      </c>
      <c r="E6" s="82">
        <f t="shared" si="3"/>
        <v>656804278061.68945</v>
      </c>
      <c r="F6" s="82">
        <f t="shared" si="3"/>
        <v>2765634018159.3086</v>
      </c>
      <c r="G6" s="83">
        <f t="shared" si="3"/>
        <v>5310967595073.3652</v>
      </c>
    </row>
    <row r="7" spans="1:7">
      <c r="B7" s="11" t="s">
        <v>142</v>
      </c>
      <c r="D7" s="12">
        <f t="shared" ref="D7:G7" si="4">D26</f>
        <v>446049854409</v>
      </c>
      <c r="E7" s="12">
        <f t="shared" si="4"/>
        <v>645098666666.66663</v>
      </c>
      <c r="F7" s="12">
        <f t="shared" si="4"/>
        <v>738194507476.44543</v>
      </c>
      <c r="G7" s="13">
        <f t="shared" si="4"/>
        <v>846680009891.01099</v>
      </c>
    </row>
    <row r="8" spans="1:7">
      <c r="B8" s="80" t="s">
        <v>143</v>
      </c>
      <c r="C8" s="81"/>
      <c r="D8" s="82">
        <f t="shared" ref="D8:G8" si="5">D27</f>
        <v>237876379317</v>
      </c>
      <c r="E8" s="82">
        <f t="shared" si="5"/>
        <v>11705611395.022827</v>
      </c>
      <c r="F8" s="82">
        <f t="shared" si="5"/>
        <v>2027439510682.8633</v>
      </c>
      <c r="G8" s="83">
        <f t="shared" si="5"/>
        <v>4464287585182.3545</v>
      </c>
    </row>
    <row r="9" spans="1:7">
      <c r="B9" s="11"/>
      <c r="C9" s="1" t="s">
        <v>144</v>
      </c>
      <c r="D9" s="78">
        <f t="shared" ref="D9:G9" si="6">D8/D3</f>
        <v>2.2074635338621296E-2</v>
      </c>
      <c r="E9" s="78">
        <f t="shared" si="6"/>
        <v>1.1075436041345749E-3</v>
      </c>
      <c r="F9" s="78">
        <f t="shared" si="6"/>
        <v>0.14943647987761141</v>
      </c>
      <c r="G9" s="79">
        <f t="shared" si="6"/>
        <v>0.26131207746056972</v>
      </c>
    </row>
    <row r="10" spans="1:7">
      <c r="B10" s="11"/>
      <c r="C10" s="1" t="s">
        <v>145</v>
      </c>
      <c r="D10" s="12">
        <f>179638000000+D8</f>
        <v>417514379317</v>
      </c>
      <c r="E10" s="12">
        <f>E8+SUM(현금흐름표!E5:E7)</f>
        <v>190480729776.02945</v>
      </c>
      <c r="F10" s="12">
        <f>F8+SUM(현금흐름표!F5:F7)</f>
        <v>2207947299982.6079</v>
      </c>
      <c r="G10" s="13">
        <f>G8+SUM(현금흐름표!G5:G7)</f>
        <v>4642798969600.6494</v>
      </c>
    </row>
    <row r="11" spans="1:7">
      <c r="B11" s="11" t="s">
        <v>146</v>
      </c>
      <c r="D11" s="12">
        <f t="shared" ref="D11:G11" si="7">D28+-D29+D30-D31+D32</f>
        <v>-56841313640</v>
      </c>
      <c r="E11" s="12">
        <f t="shared" si="7"/>
        <v>-93653197425</v>
      </c>
      <c r="F11" s="12">
        <f t="shared" si="7"/>
        <v>-93653197425</v>
      </c>
      <c r="G11" s="13">
        <f t="shared" si="7"/>
        <v>-93653197425</v>
      </c>
    </row>
    <row r="12" spans="1:7">
      <c r="B12" s="80" t="s">
        <v>147</v>
      </c>
      <c r="C12" s="81"/>
      <c r="D12" s="82">
        <f t="shared" ref="D12:G12" si="8">D8+D11</f>
        <v>181035065677</v>
      </c>
      <c r="E12" s="82">
        <f t="shared" si="8"/>
        <v>-81947586029.977173</v>
      </c>
      <c r="F12" s="82">
        <f t="shared" si="8"/>
        <v>1933786313257.8633</v>
      </c>
      <c r="G12" s="83">
        <f t="shared" si="8"/>
        <v>4370634387757.3545</v>
      </c>
    </row>
    <row r="13" spans="1:7">
      <c r="B13" s="11"/>
      <c r="C13" s="1" t="s">
        <v>148</v>
      </c>
      <c r="D13" s="12">
        <f t="shared" ref="D13:G13" si="9">D34</f>
        <v>-347177832470</v>
      </c>
      <c r="E13" s="12">
        <f t="shared" si="9"/>
        <v>-410293420647.19452</v>
      </c>
      <c r="F13" s="12">
        <f t="shared" si="9"/>
        <v>73482715181.887146</v>
      </c>
      <c r="G13" s="13">
        <f t="shared" si="9"/>
        <v>658326253061.76501</v>
      </c>
    </row>
    <row r="14" spans="1:7">
      <c r="B14" s="80" t="s">
        <v>137</v>
      </c>
      <c r="C14" s="81"/>
      <c r="D14" s="82">
        <f t="shared" ref="D14:G14" si="10">D12-D13</f>
        <v>528212898147</v>
      </c>
      <c r="E14" s="82">
        <f t="shared" si="10"/>
        <v>328345834617.21735</v>
      </c>
      <c r="F14" s="82">
        <f t="shared" si="10"/>
        <v>1860303598075.9761</v>
      </c>
      <c r="G14" s="83">
        <f t="shared" si="10"/>
        <v>3712308134695.5894</v>
      </c>
    </row>
    <row r="15" spans="1:7">
      <c r="B15" s="11"/>
      <c r="C15" s="1" t="s">
        <v>149</v>
      </c>
      <c r="D15" s="78">
        <f t="shared" ref="D15:G15" si="11">D14/D3</f>
        <v>4.9017507081746806E-2</v>
      </c>
      <c r="E15" s="78">
        <f t="shared" si="11"/>
        <v>3.1066923102295488E-2</v>
      </c>
      <c r="F15" s="78">
        <f t="shared" si="11"/>
        <v>0.13711739350807869</v>
      </c>
      <c r="G15" s="79">
        <f t="shared" si="11"/>
        <v>0.2172958019261324</v>
      </c>
    </row>
    <row r="16" spans="1:7">
      <c r="B16" s="11" t="s">
        <v>150</v>
      </c>
      <c r="D16" s="12">
        <f t="shared" ref="D16:G16" si="12">D36</f>
        <v>528119120128</v>
      </c>
      <c r="E16" s="12">
        <f t="shared" si="12"/>
        <v>328345834617.21735</v>
      </c>
      <c r="F16" s="12">
        <f t="shared" si="12"/>
        <v>1860303598075.9761</v>
      </c>
      <c r="G16" s="13">
        <f t="shared" si="12"/>
        <v>3712308134695.5894</v>
      </c>
    </row>
    <row r="17" spans="1:12">
      <c r="B17" s="14" t="s">
        <v>151</v>
      </c>
      <c r="C17" s="64"/>
      <c r="D17" s="16">
        <f t="shared" ref="D17:G17" si="13">D38</f>
        <v>40186513133</v>
      </c>
      <c r="E17" s="16">
        <f t="shared" si="13"/>
        <v>-371442485647.41785</v>
      </c>
      <c r="F17" s="16">
        <f t="shared" si="13"/>
        <v>-416006885476.2597</v>
      </c>
      <c r="G17" s="17">
        <f t="shared" si="13"/>
        <v>-175649153828.29053</v>
      </c>
    </row>
    <row r="18" spans="1:12">
      <c r="B18" s="84" t="s">
        <v>152</v>
      </c>
      <c r="C18" s="85"/>
      <c r="D18" s="86">
        <f t="shared" ref="D18:G18" si="14">D16+D17</f>
        <v>568305633261</v>
      </c>
      <c r="E18" s="86">
        <f t="shared" si="14"/>
        <v>-43096651030.2005</v>
      </c>
      <c r="F18" s="86">
        <f t="shared" si="14"/>
        <v>1444296712599.7163</v>
      </c>
      <c r="G18" s="87">
        <f t="shared" si="14"/>
        <v>3536658980867.2988</v>
      </c>
      <c r="I18" s="47"/>
      <c r="J18" s="47"/>
      <c r="K18" s="47"/>
    </row>
    <row r="19" spans="1:12">
      <c r="B19" s="14"/>
      <c r="C19" s="64" t="s">
        <v>153</v>
      </c>
      <c r="D19" s="16">
        <f>D18-재무상태표!$M81*0.0149</f>
        <v>568316603575.09595</v>
      </c>
      <c r="E19" s="16">
        <f>E18-재무상태표!$M81*0.0149</f>
        <v>-43085680716.104599</v>
      </c>
      <c r="F19" s="16">
        <f>F18-재무상태표!$M81*0.0149</f>
        <v>1444307682913.8123</v>
      </c>
      <c r="G19" s="17">
        <f>G18-재무상태표!$M81*0.0149</f>
        <v>3536669951181.3945</v>
      </c>
    </row>
    <row r="20" spans="1:12">
      <c r="D20" s="3"/>
      <c r="E20" s="3"/>
      <c r="F20" s="3"/>
      <c r="G20" s="3"/>
    </row>
    <row r="21" spans="1:12">
      <c r="A21" s="1" t="s">
        <v>138</v>
      </c>
      <c r="B21" s="1" t="s">
        <v>29</v>
      </c>
      <c r="F21" s="88"/>
      <c r="G21" s="88"/>
    </row>
    <row r="22" spans="1:12">
      <c r="B22" s="89" t="s">
        <v>30</v>
      </c>
      <c r="C22" s="90"/>
      <c r="D22" s="91">
        <v>2024</v>
      </c>
      <c r="E22" s="91" t="s">
        <v>4</v>
      </c>
      <c r="F22" s="91" t="s">
        <v>5</v>
      </c>
      <c r="G22" s="92" t="s">
        <v>6</v>
      </c>
    </row>
    <row r="23" spans="1:12">
      <c r="A23" s="33" t="s">
        <v>41</v>
      </c>
      <c r="B23" s="11" t="s">
        <v>37</v>
      </c>
      <c r="C23" s="41"/>
      <c r="D23" s="29">
        <v>10776004933627</v>
      </c>
      <c r="E23" s="29">
        <f>'매출액 추정'!G10</f>
        <v>10568984689473.686</v>
      </c>
      <c r="F23" s="29">
        <f>'매출액 추정'!H10</f>
        <v>13567232795789.475</v>
      </c>
      <c r="G23" s="42">
        <f>'매출액 추정'!I10</f>
        <v>17084122665000</v>
      </c>
      <c r="J23" s="41"/>
      <c r="K23" s="41"/>
      <c r="L23" s="41"/>
    </row>
    <row r="24" spans="1:12">
      <c r="A24" s="1" t="s">
        <v>2</v>
      </c>
      <c r="B24" s="11" t="s">
        <v>85</v>
      </c>
      <c r="C24" s="41"/>
      <c r="D24" s="29">
        <v>10092078699901</v>
      </c>
      <c r="E24" s="29">
        <f>비용파트!F10</f>
        <v>9912180411411.9961</v>
      </c>
      <c r="F24" s="29">
        <f>비용파트!E10</f>
        <v>10801598777630.166</v>
      </c>
      <c r="G24" s="42">
        <f>비용파트!D10</f>
        <v>11773155069926.635</v>
      </c>
      <c r="J24" s="41"/>
      <c r="K24" s="41"/>
      <c r="L24" s="41"/>
    </row>
    <row r="25" spans="1:12">
      <c r="B25" s="80" t="s">
        <v>154</v>
      </c>
      <c r="C25" s="93"/>
      <c r="D25" s="94">
        <f t="shared" ref="D25:G25" si="15">D23-D24</f>
        <v>683926233726</v>
      </c>
      <c r="E25" s="94">
        <f t="shared" si="15"/>
        <v>656804278061.68945</v>
      </c>
      <c r="F25" s="94">
        <f t="shared" si="15"/>
        <v>2765634018159.3086</v>
      </c>
      <c r="G25" s="95">
        <f t="shared" si="15"/>
        <v>5310967595073.3652</v>
      </c>
      <c r="J25" s="41"/>
      <c r="K25" s="41"/>
      <c r="L25" s="41"/>
    </row>
    <row r="26" spans="1:12">
      <c r="A26" s="1" t="s">
        <v>2</v>
      </c>
      <c r="B26" s="11"/>
      <c r="C26" s="64" t="s">
        <v>155</v>
      </c>
      <c r="D26" s="29">
        <v>446049854409</v>
      </c>
      <c r="E26" s="29">
        <f>표1[[#Totals],[2025(추정)]]</f>
        <v>645098666666.66663</v>
      </c>
      <c r="F26" s="29">
        <f>표1[[#Totals],[2026(추정)]]</f>
        <v>738194507476.44543</v>
      </c>
      <c r="G26" s="42">
        <f>표1[[#Totals],[2027(추정)]]</f>
        <v>846680009891.01099</v>
      </c>
      <c r="J26" s="41"/>
      <c r="K26" s="41"/>
      <c r="L26" s="41"/>
    </row>
    <row r="27" spans="1:12">
      <c r="B27" s="80" t="s">
        <v>156</v>
      </c>
      <c r="C27" s="96"/>
      <c r="D27" s="94">
        <f t="shared" ref="D27:G27" si="16">D25-D26</f>
        <v>237876379317</v>
      </c>
      <c r="E27" s="94">
        <f t="shared" si="16"/>
        <v>11705611395.022827</v>
      </c>
      <c r="F27" s="94">
        <f t="shared" si="16"/>
        <v>2027439510682.8633</v>
      </c>
      <c r="G27" s="95">
        <f t="shared" si="16"/>
        <v>4464287585182.3545</v>
      </c>
      <c r="J27" s="41"/>
      <c r="K27" s="41"/>
      <c r="L27" s="41"/>
    </row>
    <row r="28" spans="1:12">
      <c r="A28" s="1" t="s">
        <v>2</v>
      </c>
      <c r="B28" s="11"/>
      <c r="C28" s="1" t="s">
        <v>157</v>
      </c>
      <c r="D28" s="29">
        <v>696500462509</v>
      </c>
      <c r="E28" s="29">
        <v>64454000000</v>
      </c>
      <c r="F28" s="29">
        <v>64454000000</v>
      </c>
      <c r="G28" s="42">
        <v>64454000000</v>
      </c>
      <c r="J28" s="54" t="s">
        <v>158</v>
      </c>
      <c r="K28" s="41" t="s">
        <v>159</v>
      </c>
      <c r="L28" s="41"/>
    </row>
    <row r="29" spans="1:12">
      <c r="A29" s="1" t="s">
        <v>2</v>
      </c>
      <c r="B29" s="11"/>
      <c r="C29" s="1" t="s">
        <v>160</v>
      </c>
      <c r="D29" s="29">
        <v>1172189542295</v>
      </c>
      <c r="E29" s="29">
        <v>172514000000</v>
      </c>
      <c r="F29" s="29">
        <v>172514000000</v>
      </c>
      <c r="G29" s="42">
        <v>172514000000</v>
      </c>
      <c r="J29" s="54" t="s">
        <v>161</v>
      </c>
      <c r="K29" s="41" t="s">
        <v>159</v>
      </c>
      <c r="L29" s="41"/>
    </row>
    <row r="30" spans="1:12">
      <c r="A30" s="1" t="s">
        <v>2</v>
      </c>
      <c r="B30" s="11"/>
      <c r="C30" s="1" t="s">
        <v>162</v>
      </c>
      <c r="D30" s="29">
        <v>504266507102</v>
      </c>
      <c r="E30" s="29">
        <v>0</v>
      </c>
      <c r="F30" s="29">
        <v>0</v>
      </c>
      <c r="G30" s="42">
        <v>0</v>
      </c>
      <c r="J30" s="41"/>
      <c r="K30" s="41"/>
      <c r="L30" s="41"/>
    </row>
    <row r="31" spans="1:12">
      <c r="A31" s="1" t="s">
        <v>2</v>
      </c>
      <c r="B31" s="11"/>
      <c r="C31" s="1" t="s">
        <v>163</v>
      </c>
      <c r="D31" s="29">
        <v>100869543531</v>
      </c>
      <c r="E31" s="29">
        <v>0</v>
      </c>
      <c r="F31" s="29">
        <v>0</v>
      </c>
      <c r="G31" s="42">
        <v>0</v>
      </c>
      <c r="J31" s="41"/>
      <c r="K31" s="41"/>
      <c r="L31" s="41"/>
    </row>
    <row r="32" spans="1:12">
      <c r="A32" s="1" t="s">
        <v>2</v>
      </c>
      <c r="B32" s="11"/>
      <c r="C32" s="64" t="s">
        <v>164</v>
      </c>
      <c r="D32" s="29">
        <v>15450802575</v>
      </c>
      <c r="E32" s="29">
        <f t="shared" ref="E32:G32" si="17">$D$32-1044000000</f>
        <v>14406802575</v>
      </c>
      <c r="F32" s="29">
        <f t="shared" si="17"/>
        <v>14406802575</v>
      </c>
      <c r="G32" s="42">
        <f t="shared" si="17"/>
        <v>14406802575</v>
      </c>
      <c r="J32" s="41"/>
      <c r="K32" s="41"/>
      <c r="L32" s="41"/>
    </row>
    <row r="33" spans="1:13">
      <c r="B33" s="80" t="s">
        <v>165</v>
      </c>
      <c r="C33" s="96"/>
      <c r="D33" s="94">
        <f t="shared" ref="D33:G33" si="18">D27+D28-D29+D30-D31+D32</f>
        <v>181035065677</v>
      </c>
      <c r="E33" s="94">
        <f t="shared" si="18"/>
        <v>-81947586029.977173</v>
      </c>
      <c r="F33" s="94">
        <f t="shared" si="18"/>
        <v>1933786313257.8633</v>
      </c>
      <c r="G33" s="95">
        <f t="shared" si="18"/>
        <v>4370634387757.3545</v>
      </c>
      <c r="J33" s="41"/>
      <c r="K33" s="41"/>
      <c r="L33" s="41"/>
    </row>
    <row r="34" spans="1:13">
      <c r="A34" s="1" t="s">
        <v>2</v>
      </c>
      <c r="B34" s="11"/>
      <c r="C34" s="1" t="s">
        <v>166</v>
      </c>
      <c r="D34" s="29">
        <v>-347177832470</v>
      </c>
      <c r="E34" s="29">
        <f t="shared" ref="E34:G34" si="19">E33*0.24-390626000000</f>
        <v>-410293420647.19452</v>
      </c>
      <c r="F34" s="29">
        <f t="shared" si="19"/>
        <v>73482715181.887146</v>
      </c>
      <c r="G34" s="29">
        <f t="shared" si="19"/>
        <v>658326253061.76501</v>
      </c>
      <c r="J34" s="41"/>
      <c r="K34" s="41"/>
      <c r="L34" s="41"/>
    </row>
    <row r="35" spans="1:13">
      <c r="B35" s="80" t="s">
        <v>167</v>
      </c>
      <c r="C35" s="93"/>
      <c r="D35" s="94">
        <f t="shared" ref="D35:G35" si="20">D33-D34</f>
        <v>528212898147</v>
      </c>
      <c r="E35" s="94">
        <f t="shared" si="20"/>
        <v>328345834617.21735</v>
      </c>
      <c r="F35" s="94">
        <f t="shared" si="20"/>
        <v>1860303598075.9761</v>
      </c>
      <c r="G35" s="95">
        <f t="shared" si="20"/>
        <v>3712308134695.5894</v>
      </c>
      <c r="J35" s="41"/>
      <c r="K35" s="41"/>
      <c r="L35" s="41"/>
    </row>
    <row r="36" spans="1:13">
      <c r="A36" s="1" t="s">
        <v>2</v>
      </c>
      <c r="B36" s="11"/>
      <c r="C36" s="1" t="s">
        <v>168</v>
      </c>
      <c r="D36" s="29">
        <v>528119120128</v>
      </c>
      <c r="E36" s="29">
        <f t="shared" ref="E36:G36" si="21">E35</f>
        <v>328345834617.21735</v>
      </c>
      <c r="F36" s="29">
        <f t="shared" si="21"/>
        <v>1860303598075.9761</v>
      </c>
      <c r="G36" s="29">
        <f t="shared" si="21"/>
        <v>3712308134695.5894</v>
      </c>
      <c r="J36" s="41"/>
    </row>
    <row r="37" spans="1:13">
      <c r="A37" s="1" t="s">
        <v>2</v>
      </c>
      <c r="B37" s="11"/>
      <c r="C37" s="1" t="s">
        <v>169</v>
      </c>
      <c r="D37" s="29">
        <f>D35-D36</f>
        <v>93778019</v>
      </c>
      <c r="E37" s="29">
        <f>D37+재무상태표!$M82*0.0149</f>
        <v>78474713.980100006</v>
      </c>
      <c r="F37" s="29">
        <f>E37+재무상태표!$M82*0.0149</f>
        <v>63171408.960200004</v>
      </c>
      <c r="G37" s="29">
        <f>F37+재무상태표!$M82*0.0149</f>
        <v>47868103.940300003</v>
      </c>
      <c r="J37" s="41"/>
      <c r="K37" s="41"/>
      <c r="L37" s="41"/>
    </row>
    <row r="38" spans="1:13">
      <c r="B38" s="11" t="s">
        <v>170</v>
      </c>
      <c r="C38" s="41"/>
      <c r="D38" s="29">
        <f t="shared" ref="D38:G38" si="22">D40+D41+D42+D44+D45</f>
        <v>40186513133</v>
      </c>
      <c r="E38" s="29">
        <f t="shared" si="22"/>
        <v>-371442485647.41785</v>
      </c>
      <c r="F38" s="29">
        <f t="shared" si="22"/>
        <v>-416006885476.2597</v>
      </c>
      <c r="G38" s="42">
        <f t="shared" si="22"/>
        <v>-175649153828.29053</v>
      </c>
      <c r="J38" s="41"/>
      <c r="K38" s="41"/>
      <c r="L38" s="41"/>
    </row>
    <row r="39" spans="1:13">
      <c r="B39" s="11" t="s">
        <v>171</v>
      </c>
      <c r="D39" s="29"/>
      <c r="E39" s="29"/>
      <c r="F39" s="29"/>
      <c r="G39" s="42"/>
    </row>
    <row r="40" spans="1:13">
      <c r="A40" s="1" t="s">
        <v>44</v>
      </c>
      <c r="B40" s="11"/>
      <c r="C40" s="1" t="s">
        <v>172</v>
      </c>
      <c r="D40" s="29">
        <v>-53815018489</v>
      </c>
      <c r="E40" s="29">
        <v>-53815018489</v>
      </c>
      <c r="F40" s="29">
        <v>-53815018489</v>
      </c>
      <c r="G40" s="42">
        <v>-53815018489</v>
      </c>
      <c r="I40" s="1" t="s">
        <v>173</v>
      </c>
      <c r="J40" s="41"/>
      <c r="K40" s="41"/>
      <c r="L40" s="47"/>
    </row>
    <row r="41" spans="1:13">
      <c r="A41" s="1" t="s">
        <v>44</v>
      </c>
      <c r="B41" s="11"/>
      <c r="C41" s="1" t="s">
        <v>174</v>
      </c>
      <c r="D41" s="29">
        <v>-744666228</v>
      </c>
      <c r="E41" s="29">
        <v>-744666228</v>
      </c>
      <c r="F41" s="29">
        <v>-744666228</v>
      </c>
      <c r="G41" s="42">
        <v>-744666228</v>
      </c>
      <c r="I41" s="1" t="s">
        <v>175</v>
      </c>
      <c r="J41" s="41"/>
      <c r="K41" s="41"/>
      <c r="L41" s="47"/>
    </row>
    <row r="42" spans="1:13">
      <c r="A42" s="1" t="s">
        <v>44</v>
      </c>
      <c r="B42" s="11"/>
      <c r="C42" s="1" t="s">
        <v>176</v>
      </c>
      <c r="D42" s="29">
        <v>30256539316</v>
      </c>
      <c r="E42" s="29">
        <v>0</v>
      </c>
      <c r="F42" s="29">
        <v>0</v>
      </c>
      <c r="G42" s="42">
        <v>0</v>
      </c>
      <c r="I42" s="1" t="s">
        <v>177</v>
      </c>
      <c r="J42" s="41"/>
      <c r="K42" s="41"/>
      <c r="L42" s="41"/>
    </row>
    <row r="43" spans="1:13">
      <c r="B43" s="11" t="s">
        <v>178</v>
      </c>
      <c r="D43" s="29"/>
      <c r="E43" s="29"/>
      <c r="F43" s="29"/>
      <c r="G43" s="42"/>
    </row>
    <row r="44" spans="1:13">
      <c r="A44" s="1" t="s">
        <v>44</v>
      </c>
      <c r="B44" s="11"/>
      <c r="C44" s="1" t="s">
        <v>179</v>
      </c>
      <c r="D44" s="29">
        <v>54575379784</v>
      </c>
      <c r="E44" s="29">
        <f>재무상태표!E50/I46*(J46-I46)</f>
        <v>-316882800930.41785</v>
      </c>
      <c r="F44" s="29">
        <f>재무상태표!F50/J46*(K46-J46)</f>
        <v>-361447200759.2597</v>
      </c>
      <c r="G44" s="42">
        <f>재무상태표!G50/K46*(L46-K46)</f>
        <v>-121089469111.29051</v>
      </c>
      <c r="I44" s="1" t="s">
        <v>180</v>
      </c>
      <c r="J44" s="41"/>
      <c r="K44" s="41"/>
      <c r="L44" s="41"/>
    </row>
    <row r="45" spans="1:13">
      <c r="A45" s="1" t="s">
        <v>2</v>
      </c>
      <c r="B45" s="11"/>
      <c r="C45" s="1" t="s">
        <v>181</v>
      </c>
      <c r="D45" s="29">
        <v>9914278750</v>
      </c>
      <c r="E45" s="29">
        <v>0</v>
      </c>
      <c r="F45" s="29">
        <v>0</v>
      </c>
      <c r="G45" s="42">
        <v>0</v>
      </c>
      <c r="I45" s="46">
        <v>45657</v>
      </c>
      <c r="J45" s="46">
        <v>46022</v>
      </c>
      <c r="K45" s="46">
        <v>46387</v>
      </c>
      <c r="L45" s="46">
        <v>46752</v>
      </c>
      <c r="M45" s="46">
        <v>47118</v>
      </c>
    </row>
    <row r="46" spans="1:13">
      <c r="B46" s="80" t="s">
        <v>182</v>
      </c>
      <c r="C46" s="93"/>
      <c r="D46" s="94">
        <f t="shared" ref="D46:G46" si="23">D35+D38</f>
        <v>568399411280</v>
      </c>
      <c r="E46" s="94">
        <f t="shared" si="23"/>
        <v>-43096651030.2005</v>
      </c>
      <c r="F46" s="94">
        <f t="shared" si="23"/>
        <v>1444296712599.7163</v>
      </c>
      <c r="G46" s="95">
        <f t="shared" si="23"/>
        <v>3536658980867.2988</v>
      </c>
      <c r="I46" s="41">
        <v>1470</v>
      </c>
      <c r="J46" s="47">
        <v>1443.64</v>
      </c>
      <c r="K46" s="47">
        <v>1420.4</v>
      </c>
      <c r="L46" s="47">
        <v>1413.89</v>
      </c>
      <c r="M46" s="47">
        <v>1409.24</v>
      </c>
    </row>
    <row r="47" spans="1:13">
      <c r="B47" s="11"/>
      <c r="C47" s="1" t="s">
        <v>183</v>
      </c>
      <c r="D47" s="29">
        <v>568323552983</v>
      </c>
      <c r="E47" s="29"/>
      <c r="F47" s="29"/>
      <c r="G47" s="42"/>
      <c r="I47" s="41"/>
      <c r="L47" s="47"/>
      <c r="M47" s="47"/>
    </row>
    <row r="48" spans="1:13">
      <c r="B48" s="14"/>
      <c r="C48" s="64" t="s">
        <v>132</v>
      </c>
      <c r="D48" s="97">
        <f t="shared" ref="D48:G48" si="24">D46-D47</f>
        <v>75858297</v>
      </c>
      <c r="E48" s="97">
        <f t="shared" si="24"/>
        <v>-43096651030.2005</v>
      </c>
      <c r="F48" s="97">
        <f t="shared" si="24"/>
        <v>1444296712599.7163</v>
      </c>
      <c r="G48" s="98">
        <f t="shared" si="24"/>
        <v>3536658980867.2988</v>
      </c>
      <c r="K48" s="41"/>
      <c r="L48" s="41"/>
    </row>
    <row r="49" spans="2:11">
      <c r="D49" s="3"/>
      <c r="E49" s="3"/>
      <c r="F49" s="3"/>
      <c r="G49" s="3"/>
      <c r="J49" s="41"/>
      <c r="K49" s="41"/>
    </row>
    <row r="50" spans="2:11">
      <c r="B50" s="1" t="s">
        <v>184</v>
      </c>
      <c r="D50" s="3"/>
      <c r="E50" s="3"/>
      <c r="F50" s="3"/>
      <c r="G50" s="3"/>
    </row>
    <row r="51" spans="2:11">
      <c r="B51" s="1" t="s">
        <v>185</v>
      </c>
      <c r="C51" s="47"/>
      <c r="D51" s="47">
        <v>1648</v>
      </c>
      <c r="E51" s="99"/>
      <c r="F51" s="3"/>
      <c r="G51" s="3"/>
    </row>
    <row r="52" spans="2:11">
      <c r="B52" s="1" t="s">
        <v>186</v>
      </c>
      <c r="C52" s="47"/>
      <c r="D52" s="47">
        <v>1449</v>
      </c>
      <c r="E52" s="99"/>
      <c r="F52" s="3"/>
      <c r="G52" s="3"/>
    </row>
    <row r="53" spans="2:11">
      <c r="D53" s="3"/>
      <c r="E53" s="3"/>
      <c r="F53" s="3"/>
      <c r="G53" s="3"/>
    </row>
    <row r="54" spans="2:11">
      <c r="D54" s="3"/>
      <c r="E54" s="3"/>
      <c r="F54" s="3"/>
      <c r="G54" s="3"/>
    </row>
    <row r="55" spans="2:11">
      <c r="F55" s="3"/>
      <c r="G55" s="3"/>
    </row>
    <row r="56" spans="2:11">
      <c r="F56" s="3"/>
      <c r="G56" s="3"/>
    </row>
    <row r="57" spans="2:11">
      <c r="F57" s="3"/>
      <c r="G57" s="3"/>
    </row>
    <row r="58" spans="2:11">
      <c r="D58" s="3"/>
      <c r="E58" s="3"/>
      <c r="F58" s="3"/>
      <c r="G58" s="3"/>
    </row>
    <row r="59" spans="2:11">
      <c r="D59" s="3"/>
      <c r="E59" s="3"/>
      <c r="F59" s="3"/>
      <c r="G59" s="3"/>
    </row>
    <row r="60" spans="2:11">
      <c r="D60" s="3"/>
      <c r="E60" s="3"/>
      <c r="F60" s="3"/>
      <c r="G60" s="3"/>
    </row>
    <row r="61" spans="2:11">
      <c r="D61" s="3"/>
      <c r="E61" s="3"/>
      <c r="F61" s="3"/>
      <c r="G61" s="3"/>
    </row>
    <row r="62" spans="2:11">
      <c r="D62" s="3"/>
      <c r="E62" s="3"/>
      <c r="F62" s="3"/>
      <c r="G62" s="3"/>
    </row>
    <row r="63" spans="2:11">
      <c r="D63" s="3"/>
      <c r="E63" s="3"/>
      <c r="F63" s="3"/>
      <c r="G63" s="3"/>
    </row>
    <row r="64" spans="2:11">
      <c r="D64" s="3"/>
      <c r="E64" s="3"/>
      <c r="F64" s="3"/>
      <c r="G64" s="3"/>
    </row>
    <row r="65" spans="4:7">
      <c r="D65" s="3"/>
      <c r="E65" s="3"/>
      <c r="F65" s="3"/>
      <c r="G65" s="3"/>
    </row>
    <row r="66" spans="4:7">
      <c r="D66" s="3"/>
      <c r="E66" s="3"/>
      <c r="F66" s="3"/>
      <c r="G66" s="3"/>
    </row>
    <row r="67" spans="4:7">
      <c r="D67" s="3"/>
      <c r="E67" s="3"/>
      <c r="F67" s="3"/>
      <c r="G67" s="3"/>
    </row>
    <row r="68" spans="4:7">
      <c r="D68" s="3"/>
      <c r="E68" s="3"/>
      <c r="F68" s="3"/>
      <c r="G68" s="3"/>
    </row>
    <row r="69" spans="4:7">
      <c r="D69" s="3"/>
      <c r="E69" s="3"/>
      <c r="F69" s="3"/>
      <c r="G69" s="3"/>
    </row>
    <row r="70" spans="4:7">
      <c r="D70" s="3"/>
      <c r="E70" s="3"/>
      <c r="F70" s="3"/>
      <c r="G70" s="3"/>
    </row>
    <row r="71" spans="4:7">
      <c r="D71" s="3"/>
      <c r="E71" s="3"/>
      <c r="F71" s="3"/>
      <c r="G71" s="3"/>
    </row>
    <row r="72" spans="4:7">
      <c r="D72" s="3"/>
      <c r="E72" s="3"/>
      <c r="F72" s="3"/>
      <c r="G72" s="3"/>
    </row>
    <row r="73" spans="4:7">
      <c r="D73" s="3"/>
      <c r="E73" s="3"/>
      <c r="F73" s="3"/>
      <c r="G73" s="3"/>
    </row>
    <row r="74" spans="4:7">
      <c r="D74" s="3"/>
      <c r="E74" s="3"/>
      <c r="F74" s="3"/>
      <c r="G74" s="3"/>
    </row>
    <row r="75" spans="4:7">
      <c r="D75" s="3"/>
      <c r="E75" s="3"/>
      <c r="F75" s="3"/>
      <c r="G75" s="3"/>
    </row>
    <row r="76" spans="4:7">
      <c r="D76" s="3"/>
      <c r="E76" s="3"/>
      <c r="F76" s="3"/>
      <c r="G76" s="3"/>
    </row>
    <row r="77" spans="4:7">
      <c r="D77" s="3"/>
      <c r="E77" s="3"/>
      <c r="F77" s="3"/>
      <c r="G77" s="3"/>
    </row>
    <row r="78" spans="4:7">
      <c r="D78" s="3"/>
      <c r="E78" s="3"/>
      <c r="F78" s="3"/>
      <c r="G78" s="3"/>
    </row>
    <row r="79" spans="4:7">
      <c r="D79" s="3"/>
      <c r="E79" s="3"/>
      <c r="F79" s="3"/>
      <c r="G79" s="3"/>
    </row>
    <row r="80" spans="4:7">
      <c r="D80" s="3"/>
      <c r="E80" s="3"/>
      <c r="F80" s="3"/>
      <c r="G80" s="3"/>
    </row>
    <row r="81" spans="4:7">
      <c r="D81" s="3"/>
      <c r="E81" s="3"/>
      <c r="F81" s="3"/>
      <c r="G81" s="3"/>
    </row>
    <row r="82" spans="4:7">
      <c r="D82" s="3"/>
      <c r="E82" s="3"/>
      <c r="F82" s="3"/>
      <c r="G82" s="3"/>
    </row>
    <row r="83" spans="4:7">
      <c r="D83" s="3"/>
      <c r="E83" s="3"/>
      <c r="F83" s="3"/>
      <c r="G83" s="3"/>
    </row>
    <row r="84" spans="4:7">
      <c r="D84" s="3"/>
      <c r="E84" s="3"/>
      <c r="F84" s="3"/>
      <c r="G84" s="3"/>
    </row>
    <row r="85" spans="4:7">
      <c r="D85" s="3"/>
      <c r="E85" s="3"/>
      <c r="F85" s="3"/>
      <c r="G85" s="3"/>
    </row>
    <row r="86" spans="4:7">
      <c r="D86" s="3"/>
      <c r="E86" s="3"/>
      <c r="F86" s="3"/>
      <c r="G86" s="3"/>
    </row>
    <row r="87" spans="4:7">
      <c r="D87" s="3"/>
      <c r="E87" s="3"/>
      <c r="F87" s="3"/>
      <c r="G87" s="3"/>
    </row>
    <row r="88" spans="4:7">
      <c r="D88" s="3"/>
      <c r="E88" s="3"/>
      <c r="F88" s="3"/>
      <c r="G88" s="3"/>
    </row>
    <row r="89" spans="4:7">
      <c r="D89" s="3"/>
      <c r="E89" s="3"/>
      <c r="F89" s="3"/>
      <c r="G89" s="3"/>
    </row>
    <row r="90" spans="4:7">
      <c r="D90" s="3"/>
      <c r="E90" s="3"/>
      <c r="F90" s="3"/>
      <c r="G90" s="3"/>
    </row>
    <row r="91" spans="4:7">
      <c r="D91" s="3"/>
      <c r="E91" s="3"/>
      <c r="F91" s="3"/>
      <c r="G91" s="3"/>
    </row>
    <row r="92" spans="4:7">
      <c r="D92" s="3"/>
      <c r="E92" s="3"/>
      <c r="F92" s="3"/>
      <c r="G92" s="3"/>
    </row>
    <row r="93" spans="4:7">
      <c r="D93" s="3"/>
      <c r="E93" s="3"/>
      <c r="F93" s="3"/>
      <c r="G93" s="3"/>
    </row>
    <row r="94" spans="4:7">
      <c r="D94" s="3"/>
      <c r="E94" s="3"/>
      <c r="F94" s="3"/>
      <c r="G94" s="3"/>
    </row>
    <row r="95" spans="4:7">
      <c r="D95" s="3"/>
      <c r="E95" s="3"/>
      <c r="F95" s="3"/>
      <c r="G95" s="3"/>
    </row>
    <row r="96" spans="4:7">
      <c r="D96" s="3"/>
      <c r="E96" s="3"/>
      <c r="F96" s="3"/>
      <c r="G96" s="3"/>
    </row>
    <row r="97" spans="4:7">
      <c r="D97" s="3"/>
      <c r="E97" s="3"/>
      <c r="F97" s="3"/>
      <c r="G97" s="3"/>
    </row>
    <row r="98" spans="4:7">
      <c r="D98" s="3"/>
      <c r="E98" s="3"/>
      <c r="F98" s="3"/>
      <c r="G98" s="3"/>
    </row>
    <row r="99" spans="4:7">
      <c r="D99" s="3"/>
      <c r="E99" s="3"/>
      <c r="F99" s="3"/>
      <c r="G99" s="3"/>
    </row>
    <row r="100" spans="4:7">
      <c r="D100" s="3"/>
      <c r="E100" s="3"/>
      <c r="F100" s="3"/>
      <c r="G100" s="3"/>
    </row>
    <row r="101" spans="4:7">
      <c r="D101" s="3"/>
      <c r="E101" s="3"/>
      <c r="F101" s="3"/>
      <c r="G101" s="3"/>
    </row>
    <row r="102" spans="4:7">
      <c r="D102" s="3"/>
      <c r="E102" s="3"/>
      <c r="F102" s="3"/>
      <c r="G102" s="3"/>
    </row>
    <row r="103" spans="4:7">
      <c r="D103" s="3"/>
      <c r="E103" s="3"/>
      <c r="F103" s="3"/>
      <c r="G103" s="3"/>
    </row>
    <row r="104" spans="4:7">
      <c r="D104" s="3"/>
      <c r="E104" s="3"/>
      <c r="F104" s="3"/>
      <c r="G104" s="3"/>
    </row>
    <row r="105" spans="4:7">
      <c r="D105" s="3"/>
      <c r="E105" s="3"/>
      <c r="F105" s="3"/>
      <c r="G105" s="3"/>
    </row>
    <row r="106" spans="4:7">
      <c r="D106" s="3"/>
      <c r="E106" s="3"/>
      <c r="F106" s="3"/>
      <c r="G106" s="3"/>
    </row>
    <row r="107" spans="4:7">
      <c r="D107" s="3"/>
      <c r="E107" s="3"/>
      <c r="F107" s="3"/>
      <c r="G107" s="3"/>
    </row>
    <row r="108" spans="4:7">
      <c r="D108" s="3"/>
      <c r="E108" s="3"/>
      <c r="F108" s="3"/>
      <c r="G108" s="3"/>
    </row>
    <row r="109" spans="4:7">
      <c r="D109" s="3"/>
      <c r="E109" s="3"/>
      <c r="F109" s="3"/>
      <c r="G109" s="3"/>
    </row>
    <row r="110" spans="4:7">
      <c r="D110" s="3"/>
      <c r="E110" s="3"/>
      <c r="F110" s="3"/>
      <c r="G110" s="3"/>
    </row>
    <row r="111" spans="4:7">
      <c r="D111" s="3"/>
      <c r="E111" s="3"/>
      <c r="F111" s="3"/>
      <c r="G111" s="3"/>
    </row>
    <row r="112" spans="4:7">
      <c r="D112" s="3"/>
      <c r="E112" s="3"/>
      <c r="F112" s="3"/>
      <c r="G112" s="3"/>
    </row>
    <row r="113" spans="4:7">
      <c r="D113" s="3"/>
      <c r="E113" s="3"/>
      <c r="F113" s="3"/>
      <c r="G113" s="3"/>
    </row>
    <row r="114" spans="4:7">
      <c r="D114" s="3"/>
      <c r="E114" s="3"/>
      <c r="F114" s="3"/>
      <c r="G114" s="3"/>
    </row>
    <row r="115" spans="4:7">
      <c r="D115" s="3"/>
      <c r="E115" s="3"/>
      <c r="F115" s="3"/>
      <c r="G115" s="3"/>
    </row>
    <row r="116" spans="4:7">
      <c r="D116" s="3"/>
      <c r="E116" s="3"/>
      <c r="F116" s="3"/>
      <c r="G116" s="3"/>
    </row>
    <row r="117" spans="4:7">
      <c r="D117" s="3"/>
      <c r="E117" s="3"/>
      <c r="F117" s="3"/>
      <c r="G117" s="3"/>
    </row>
    <row r="118" spans="4:7">
      <c r="D118" s="3"/>
      <c r="E118" s="3"/>
      <c r="F118" s="3"/>
      <c r="G118" s="3"/>
    </row>
    <row r="119" spans="4:7">
      <c r="D119" s="3"/>
      <c r="E119" s="3"/>
      <c r="F119" s="3"/>
      <c r="G119" s="3"/>
    </row>
    <row r="120" spans="4:7">
      <c r="D120" s="3"/>
      <c r="E120" s="3"/>
      <c r="F120" s="3"/>
      <c r="G120" s="3"/>
    </row>
    <row r="121" spans="4:7">
      <c r="D121" s="3"/>
      <c r="E121" s="3"/>
      <c r="F121" s="3"/>
      <c r="G121" s="3"/>
    </row>
    <row r="122" spans="4:7">
      <c r="D122" s="3"/>
      <c r="E122" s="3"/>
      <c r="F122" s="3"/>
      <c r="G122" s="3"/>
    </row>
    <row r="123" spans="4:7">
      <c r="D123" s="3"/>
      <c r="E123" s="3"/>
      <c r="F123" s="3"/>
      <c r="G123" s="3"/>
    </row>
    <row r="124" spans="4:7">
      <c r="D124" s="3"/>
      <c r="E124" s="3"/>
      <c r="F124" s="3"/>
      <c r="G124" s="3"/>
    </row>
    <row r="125" spans="4:7">
      <c r="D125" s="3"/>
      <c r="E125" s="3"/>
      <c r="F125" s="3"/>
      <c r="G125" s="3"/>
    </row>
    <row r="126" spans="4:7">
      <c r="D126" s="3"/>
      <c r="E126" s="3"/>
      <c r="F126" s="3"/>
      <c r="G126" s="3"/>
    </row>
    <row r="127" spans="4:7">
      <c r="D127" s="3"/>
      <c r="E127" s="3"/>
      <c r="F127" s="3"/>
      <c r="G127" s="3"/>
    </row>
    <row r="128" spans="4:7">
      <c r="D128" s="3"/>
      <c r="E128" s="3"/>
      <c r="F128" s="3"/>
      <c r="G128" s="3"/>
    </row>
    <row r="129" spans="4:7">
      <c r="D129" s="3"/>
      <c r="E129" s="3"/>
      <c r="F129" s="3"/>
      <c r="G129" s="3"/>
    </row>
    <row r="130" spans="4:7">
      <c r="D130" s="3"/>
      <c r="E130" s="3"/>
      <c r="F130" s="3"/>
      <c r="G130" s="3"/>
    </row>
    <row r="131" spans="4:7">
      <c r="D131" s="3"/>
      <c r="E131" s="3"/>
      <c r="F131" s="3"/>
      <c r="G131" s="3"/>
    </row>
    <row r="132" spans="4:7">
      <c r="D132" s="3"/>
      <c r="E132" s="3"/>
      <c r="F132" s="3"/>
      <c r="G132" s="3"/>
    </row>
    <row r="133" spans="4:7">
      <c r="D133" s="3"/>
      <c r="E133" s="3"/>
      <c r="F133" s="3"/>
      <c r="G133" s="3"/>
    </row>
    <row r="134" spans="4:7">
      <c r="D134" s="3"/>
      <c r="E134" s="3"/>
      <c r="F134" s="3"/>
      <c r="G134" s="3"/>
    </row>
    <row r="135" spans="4:7">
      <c r="D135" s="3"/>
      <c r="E135" s="3"/>
      <c r="F135" s="3"/>
      <c r="G135" s="3"/>
    </row>
    <row r="136" spans="4:7">
      <c r="D136" s="3"/>
      <c r="E136" s="3"/>
      <c r="F136" s="3"/>
      <c r="G136" s="3"/>
    </row>
    <row r="137" spans="4:7">
      <c r="D137" s="3"/>
      <c r="E137" s="3"/>
      <c r="F137" s="3"/>
      <c r="G137" s="3"/>
    </row>
    <row r="138" spans="4:7">
      <c r="D138" s="3"/>
      <c r="E138" s="3"/>
      <c r="F138" s="3"/>
      <c r="G138" s="3"/>
    </row>
    <row r="139" spans="4:7">
      <c r="D139" s="3"/>
      <c r="E139" s="3"/>
      <c r="F139" s="3"/>
      <c r="G139" s="3"/>
    </row>
    <row r="140" spans="4:7">
      <c r="D140" s="3"/>
      <c r="E140" s="3"/>
      <c r="F140" s="3"/>
      <c r="G140" s="3"/>
    </row>
    <row r="141" spans="4:7">
      <c r="D141" s="3"/>
      <c r="E141" s="3"/>
      <c r="F141" s="3"/>
      <c r="G141" s="3"/>
    </row>
    <row r="142" spans="4:7">
      <c r="D142" s="3"/>
      <c r="E142" s="3"/>
      <c r="F142" s="3"/>
      <c r="G142" s="3"/>
    </row>
    <row r="143" spans="4:7">
      <c r="D143" s="3"/>
      <c r="E143" s="3"/>
      <c r="F143" s="3"/>
      <c r="G143" s="3"/>
    </row>
    <row r="144" spans="4:7">
      <c r="D144" s="3"/>
      <c r="E144" s="3"/>
      <c r="F144" s="3"/>
      <c r="G144" s="3"/>
    </row>
    <row r="145" spans="4:7">
      <c r="D145" s="3"/>
      <c r="E145" s="3"/>
      <c r="F145" s="3"/>
      <c r="G145" s="3"/>
    </row>
    <row r="146" spans="4:7">
      <c r="D146" s="3"/>
      <c r="E146" s="3"/>
      <c r="F146" s="3"/>
      <c r="G146" s="3"/>
    </row>
    <row r="147" spans="4:7">
      <c r="D147" s="3"/>
      <c r="E147" s="3"/>
      <c r="F147" s="3"/>
      <c r="G147" s="3"/>
    </row>
    <row r="148" spans="4:7">
      <c r="D148" s="3"/>
      <c r="E148" s="3"/>
      <c r="F148" s="3"/>
      <c r="G148" s="3"/>
    </row>
    <row r="149" spans="4:7">
      <c r="D149" s="3"/>
      <c r="E149" s="3"/>
      <c r="F149" s="3"/>
      <c r="G149" s="3"/>
    </row>
    <row r="150" spans="4:7">
      <c r="D150" s="3"/>
      <c r="E150" s="3"/>
      <c r="F150" s="3"/>
      <c r="G150" s="3"/>
    </row>
    <row r="151" spans="4:7">
      <c r="D151" s="3"/>
      <c r="E151" s="3"/>
      <c r="F151" s="3"/>
      <c r="G151" s="3"/>
    </row>
    <row r="152" spans="4:7">
      <c r="D152" s="3"/>
      <c r="E152" s="3"/>
      <c r="F152" s="3"/>
      <c r="G152" s="3"/>
    </row>
    <row r="153" spans="4:7">
      <c r="D153" s="3"/>
      <c r="E153" s="3"/>
      <c r="F153" s="3"/>
      <c r="G153" s="3"/>
    </row>
    <row r="154" spans="4:7">
      <c r="D154" s="3"/>
      <c r="E154" s="3"/>
      <c r="F154" s="3"/>
      <c r="G154" s="3"/>
    </row>
    <row r="155" spans="4:7">
      <c r="D155" s="3"/>
      <c r="E155" s="3"/>
      <c r="F155" s="3"/>
      <c r="G155" s="3"/>
    </row>
    <row r="156" spans="4:7">
      <c r="D156" s="3"/>
      <c r="E156" s="3"/>
      <c r="F156" s="3"/>
      <c r="G156" s="3"/>
    </row>
    <row r="157" spans="4:7">
      <c r="D157" s="3"/>
      <c r="E157" s="3"/>
      <c r="F157" s="3"/>
      <c r="G157" s="3"/>
    </row>
    <row r="158" spans="4:7">
      <c r="D158" s="3"/>
      <c r="E158" s="3"/>
      <c r="F158" s="3"/>
      <c r="G158" s="3"/>
    </row>
    <row r="159" spans="4:7">
      <c r="D159" s="3"/>
      <c r="E159" s="3"/>
      <c r="F159" s="3"/>
      <c r="G159" s="3"/>
    </row>
    <row r="160" spans="4:7">
      <c r="D160" s="3"/>
      <c r="E160" s="3"/>
      <c r="F160" s="3"/>
      <c r="G160" s="3"/>
    </row>
    <row r="161" spans="4:7">
      <c r="D161" s="3"/>
      <c r="E161" s="3"/>
      <c r="F161" s="3"/>
      <c r="G161" s="3"/>
    </row>
    <row r="162" spans="4:7">
      <c r="D162" s="3"/>
      <c r="E162" s="3"/>
      <c r="F162" s="3"/>
      <c r="G162" s="3"/>
    </row>
    <row r="163" spans="4:7">
      <c r="D163" s="3"/>
      <c r="E163" s="3"/>
      <c r="F163" s="3"/>
      <c r="G163" s="3"/>
    </row>
    <row r="164" spans="4:7">
      <c r="D164" s="3"/>
      <c r="E164" s="3"/>
      <c r="F164" s="3"/>
      <c r="G164" s="3"/>
    </row>
    <row r="165" spans="4:7">
      <c r="D165" s="3"/>
      <c r="E165" s="3"/>
      <c r="F165" s="3"/>
      <c r="G165" s="3"/>
    </row>
    <row r="166" spans="4:7">
      <c r="D166" s="3"/>
      <c r="E166" s="3"/>
      <c r="F166" s="3"/>
      <c r="G166" s="3"/>
    </row>
    <row r="167" spans="4:7">
      <c r="D167" s="3"/>
      <c r="E167" s="3"/>
      <c r="F167" s="3"/>
      <c r="G167" s="3"/>
    </row>
    <row r="168" spans="4:7">
      <c r="D168" s="3"/>
      <c r="E168" s="3"/>
      <c r="F168" s="3"/>
      <c r="G168" s="3"/>
    </row>
    <row r="169" spans="4:7">
      <c r="D169" s="3"/>
      <c r="E169" s="3"/>
      <c r="F169" s="3"/>
      <c r="G169" s="3"/>
    </row>
    <row r="170" spans="4:7">
      <c r="D170" s="3"/>
      <c r="E170" s="3"/>
      <c r="F170" s="3"/>
      <c r="G170" s="3"/>
    </row>
    <row r="171" spans="4:7">
      <c r="D171" s="3"/>
      <c r="E171" s="3"/>
      <c r="F171" s="3"/>
      <c r="G171" s="3"/>
    </row>
    <row r="172" spans="4:7">
      <c r="D172" s="3"/>
      <c r="E172" s="3"/>
      <c r="F172" s="3"/>
      <c r="G172" s="3"/>
    </row>
    <row r="173" spans="4:7">
      <c r="D173" s="3"/>
      <c r="E173" s="3"/>
      <c r="F173" s="3"/>
      <c r="G173" s="3"/>
    </row>
    <row r="174" spans="4:7">
      <c r="D174" s="3"/>
      <c r="E174" s="3"/>
      <c r="F174" s="3"/>
      <c r="G174" s="3"/>
    </row>
    <row r="175" spans="4:7">
      <c r="D175" s="3"/>
      <c r="E175" s="3"/>
      <c r="F175" s="3"/>
      <c r="G175" s="3"/>
    </row>
    <row r="176" spans="4:7">
      <c r="D176" s="3"/>
      <c r="E176" s="3"/>
      <c r="F176" s="3"/>
      <c r="G176" s="3"/>
    </row>
    <row r="177" spans="4:7">
      <c r="D177" s="3"/>
      <c r="E177" s="3"/>
      <c r="F177" s="3"/>
      <c r="G177" s="3"/>
    </row>
    <row r="178" spans="4:7">
      <c r="D178" s="3"/>
      <c r="E178" s="3"/>
      <c r="F178" s="3"/>
      <c r="G178" s="3"/>
    </row>
    <row r="179" spans="4:7">
      <c r="D179" s="3"/>
      <c r="E179" s="3"/>
      <c r="F179" s="3"/>
      <c r="G179" s="3"/>
    </row>
    <row r="180" spans="4:7">
      <c r="D180" s="3"/>
      <c r="E180" s="3"/>
      <c r="F180" s="3"/>
      <c r="G180" s="3"/>
    </row>
    <row r="181" spans="4:7">
      <c r="D181" s="3"/>
      <c r="E181" s="3"/>
      <c r="F181" s="3"/>
      <c r="G181" s="3"/>
    </row>
    <row r="182" spans="4:7">
      <c r="D182" s="3"/>
      <c r="E182" s="3"/>
      <c r="F182" s="3"/>
      <c r="G182" s="3"/>
    </row>
    <row r="183" spans="4:7">
      <c r="D183" s="3"/>
      <c r="E183" s="3"/>
      <c r="F183" s="3"/>
      <c r="G183" s="3"/>
    </row>
    <row r="184" spans="4:7">
      <c r="D184" s="3"/>
      <c r="E184" s="3"/>
      <c r="F184" s="3"/>
      <c r="G184" s="3"/>
    </row>
    <row r="185" spans="4:7">
      <c r="D185" s="3"/>
      <c r="E185" s="3"/>
      <c r="F185" s="3"/>
      <c r="G185" s="3"/>
    </row>
    <row r="186" spans="4:7">
      <c r="D186" s="3"/>
      <c r="E186" s="3"/>
      <c r="F186" s="3"/>
      <c r="G186" s="3"/>
    </row>
    <row r="187" spans="4:7">
      <c r="D187" s="3"/>
      <c r="E187" s="3"/>
      <c r="F187" s="3"/>
      <c r="G187" s="3"/>
    </row>
    <row r="188" spans="4:7">
      <c r="D188" s="3"/>
      <c r="E188" s="3"/>
      <c r="F188" s="3"/>
      <c r="G188" s="3"/>
    </row>
    <row r="189" spans="4:7">
      <c r="D189" s="3"/>
      <c r="E189" s="3"/>
      <c r="F189" s="3"/>
      <c r="G189" s="3"/>
    </row>
    <row r="190" spans="4:7">
      <c r="D190" s="3"/>
      <c r="E190" s="3"/>
      <c r="F190" s="3"/>
      <c r="G190" s="3"/>
    </row>
    <row r="191" spans="4:7">
      <c r="D191" s="3"/>
      <c r="E191" s="3"/>
      <c r="F191" s="3"/>
      <c r="G191" s="3"/>
    </row>
    <row r="192" spans="4:7">
      <c r="D192" s="3"/>
      <c r="E192" s="3"/>
      <c r="F192" s="3"/>
      <c r="G192" s="3"/>
    </row>
    <row r="193" spans="4:7">
      <c r="D193" s="3"/>
      <c r="E193" s="3"/>
      <c r="F193" s="3"/>
      <c r="G193" s="3"/>
    </row>
    <row r="194" spans="4:7">
      <c r="D194" s="3"/>
      <c r="E194" s="3"/>
      <c r="F194" s="3"/>
      <c r="G194" s="3"/>
    </row>
    <row r="195" spans="4:7">
      <c r="D195" s="3"/>
      <c r="E195" s="3"/>
      <c r="F195" s="3"/>
      <c r="G195" s="3"/>
    </row>
    <row r="196" spans="4:7">
      <c r="D196" s="3"/>
      <c r="E196" s="3"/>
      <c r="F196" s="3"/>
      <c r="G196" s="3"/>
    </row>
    <row r="197" spans="4:7">
      <c r="D197" s="3"/>
      <c r="E197" s="3"/>
      <c r="F197" s="3"/>
      <c r="G197" s="3"/>
    </row>
    <row r="198" spans="4:7">
      <c r="D198" s="3"/>
      <c r="E198" s="3"/>
      <c r="F198" s="3"/>
      <c r="G198" s="3"/>
    </row>
    <row r="199" spans="4:7">
      <c r="D199" s="3"/>
      <c r="E199" s="3"/>
      <c r="F199" s="3"/>
      <c r="G199" s="3"/>
    </row>
    <row r="200" spans="4:7">
      <c r="D200" s="3"/>
      <c r="E200" s="3"/>
      <c r="F200" s="3"/>
      <c r="G200" s="3"/>
    </row>
    <row r="201" spans="4:7">
      <c r="D201" s="3"/>
      <c r="E201" s="3"/>
      <c r="F201" s="3"/>
      <c r="G201" s="3"/>
    </row>
    <row r="202" spans="4:7">
      <c r="D202" s="3"/>
      <c r="E202" s="3"/>
      <c r="F202" s="3"/>
      <c r="G202" s="3"/>
    </row>
    <row r="203" spans="4:7">
      <c r="D203" s="3"/>
      <c r="E203" s="3"/>
      <c r="F203" s="3"/>
      <c r="G203" s="3"/>
    </row>
    <row r="204" spans="4:7">
      <c r="D204" s="3"/>
      <c r="E204" s="3"/>
      <c r="F204" s="3"/>
      <c r="G204" s="3"/>
    </row>
    <row r="205" spans="4:7">
      <c r="D205" s="3"/>
      <c r="E205" s="3"/>
      <c r="F205" s="3"/>
      <c r="G205" s="3"/>
    </row>
    <row r="206" spans="4:7">
      <c r="D206" s="3"/>
      <c r="E206" s="3"/>
      <c r="F206" s="3"/>
      <c r="G206" s="3"/>
    </row>
    <row r="207" spans="4:7">
      <c r="D207" s="3"/>
      <c r="E207" s="3"/>
      <c r="F207" s="3"/>
      <c r="G207" s="3"/>
    </row>
    <row r="208" spans="4:7">
      <c r="D208" s="3"/>
      <c r="E208" s="3"/>
      <c r="F208" s="3"/>
      <c r="G208" s="3"/>
    </row>
    <row r="209" spans="4:7">
      <c r="D209" s="3"/>
      <c r="E209" s="3"/>
      <c r="F209" s="3"/>
      <c r="G209" s="3"/>
    </row>
    <row r="210" spans="4:7">
      <c r="D210" s="3"/>
      <c r="E210" s="3"/>
      <c r="F210" s="3"/>
      <c r="G210" s="3"/>
    </row>
    <row r="211" spans="4:7">
      <c r="D211" s="3"/>
      <c r="E211" s="3"/>
      <c r="F211" s="3"/>
      <c r="G211" s="3"/>
    </row>
    <row r="212" spans="4:7">
      <c r="D212" s="3"/>
      <c r="E212" s="3"/>
      <c r="F212" s="3"/>
      <c r="G212" s="3"/>
    </row>
    <row r="213" spans="4:7">
      <c r="D213" s="3"/>
      <c r="E213" s="3"/>
      <c r="F213" s="3"/>
      <c r="G213" s="3"/>
    </row>
    <row r="214" spans="4:7">
      <c r="D214" s="3"/>
      <c r="E214" s="3"/>
      <c r="F214" s="3"/>
      <c r="G214" s="3"/>
    </row>
    <row r="215" spans="4:7">
      <c r="D215" s="3"/>
      <c r="E215" s="3"/>
      <c r="F215" s="3"/>
      <c r="G215" s="3"/>
    </row>
    <row r="216" spans="4:7">
      <c r="D216" s="3"/>
      <c r="E216" s="3"/>
      <c r="F216" s="3"/>
      <c r="G216" s="3"/>
    </row>
    <row r="217" spans="4:7">
      <c r="D217" s="3"/>
      <c r="E217" s="3"/>
      <c r="F217" s="3"/>
      <c r="G217" s="3"/>
    </row>
    <row r="218" spans="4:7">
      <c r="D218" s="3"/>
      <c r="E218" s="3"/>
      <c r="F218" s="3"/>
      <c r="G218" s="3"/>
    </row>
    <row r="219" spans="4:7">
      <c r="D219" s="3"/>
      <c r="E219" s="3"/>
      <c r="F219" s="3"/>
      <c r="G219" s="3"/>
    </row>
    <row r="220" spans="4:7">
      <c r="D220" s="3"/>
      <c r="E220" s="3"/>
      <c r="F220" s="3"/>
      <c r="G220" s="3"/>
    </row>
    <row r="221" spans="4:7">
      <c r="D221" s="3"/>
      <c r="E221" s="3"/>
      <c r="F221" s="3"/>
      <c r="G221" s="3"/>
    </row>
    <row r="222" spans="4:7">
      <c r="D222" s="3"/>
      <c r="E222" s="3"/>
      <c r="F222" s="3"/>
      <c r="G222" s="3"/>
    </row>
    <row r="223" spans="4:7">
      <c r="D223" s="3"/>
      <c r="E223" s="3"/>
      <c r="F223" s="3"/>
      <c r="G223" s="3"/>
    </row>
    <row r="224" spans="4:7">
      <c r="D224" s="3"/>
      <c r="E224" s="3"/>
      <c r="F224" s="3"/>
      <c r="G224" s="3"/>
    </row>
    <row r="225" spans="4:7">
      <c r="D225" s="3"/>
      <c r="E225" s="3"/>
      <c r="F225" s="3"/>
      <c r="G225" s="3"/>
    </row>
    <row r="226" spans="4:7">
      <c r="D226" s="3"/>
      <c r="E226" s="3"/>
      <c r="F226" s="3"/>
      <c r="G226" s="3"/>
    </row>
    <row r="227" spans="4:7">
      <c r="D227" s="3"/>
      <c r="E227" s="3"/>
      <c r="F227" s="3"/>
      <c r="G227" s="3"/>
    </row>
    <row r="228" spans="4:7">
      <c r="D228" s="3"/>
      <c r="E228" s="3"/>
      <c r="F228" s="3"/>
      <c r="G228" s="3"/>
    </row>
    <row r="229" spans="4:7">
      <c r="D229" s="3"/>
      <c r="E229" s="3"/>
      <c r="F229" s="3"/>
      <c r="G229" s="3"/>
    </row>
    <row r="230" spans="4:7">
      <c r="D230" s="3"/>
      <c r="E230" s="3"/>
      <c r="F230" s="3"/>
      <c r="G230" s="3"/>
    </row>
    <row r="231" spans="4:7">
      <c r="D231" s="3"/>
      <c r="E231" s="3"/>
      <c r="F231" s="3"/>
      <c r="G231" s="3"/>
    </row>
    <row r="232" spans="4:7">
      <c r="D232" s="3"/>
      <c r="E232" s="3"/>
      <c r="F232" s="3"/>
      <c r="G232" s="3"/>
    </row>
    <row r="233" spans="4:7">
      <c r="D233" s="3"/>
      <c r="E233" s="3"/>
      <c r="F233" s="3"/>
      <c r="G233" s="3"/>
    </row>
    <row r="234" spans="4:7">
      <c r="D234" s="3"/>
      <c r="E234" s="3"/>
      <c r="F234" s="3"/>
      <c r="G234" s="3"/>
    </row>
    <row r="235" spans="4:7">
      <c r="D235" s="3"/>
      <c r="E235" s="3"/>
      <c r="F235" s="3"/>
      <c r="G235" s="3"/>
    </row>
    <row r="236" spans="4:7">
      <c r="D236" s="3"/>
      <c r="E236" s="3"/>
      <c r="F236" s="3"/>
      <c r="G236" s="3"/>
    </row>
    <row r="237" spans="4:7">
      <c r="D237" s="3"/>
      <c r="E237" s="3"/>
      <c r="F237" s="3"/>
      <c r="G237" s="3"/>
    </row>
    <row r="238" spans="4:7">
      <c r="D238" s="3"/>
      <c r="E238" s="3"/>
      <c r="F238" s="3"/>
      <c r="G238" s="3"/>
    </row>
    <row r="239" spans="4:7">
      <c r="D239" s="3"/>
      <c r="E239" s="3"/>
      <c r="F239" s="3"/>
      <c r="G239" s="3"/>
    </row>
    <row r="240" spans="4:7">
      <c r="D240" s="3"/>
      <c r="E240" s="3"/>
      <c r="F240" s="3"/>
      <c r="G240" s="3"/>
    </row>
    <row r="241" spans="4:7">
      <c r="D241" s="3"/>
      <c r="E241" s="3"/>
      <c r="F241" s="3"/>
      <c r="G241" s="3"/>
    </row>
    <row r="242" spans="4:7">
      <c r="D242" s="3"/>
      <c r="E242" s="3"/>
      <c r="F242" s="3"/>
      <c r="G242" s="3"/>
    </row>
    <row r="243" spans="4:7">
      <c r="D243" s="3"/>
      <c r="E243" s="3"/>
      <c r="F243" s="3"/>
      <c r="G243" s="3"/>
    </row>
    <row r="244" spans="4:7">
      <c r="D244" s="3"/>
      <c r="E244" s="3"/>
      <c r="F244" s="3"/>
      <c r="G244" s="3"/>
    </row>
    <row r="245" spans="4:7">
      <c r="D245" s="3"/>
      <c r="E245" s="3"/>
      <c r="F245" s="3"/>
      <c r="G245" s="3"/>
    </row>
    <row r="246" spans="4:7">
      <c r="D246" s="3"/>
      <c r="E246" s="3"/>
      <c r="F246" s="3"/>
      <c r="G246" s="3"/>
    </row>
    <row r="247" spans="4:7">
      <c r="D247" s="3"/>
      <c r="E247" s="3"/>
      <c r="F247" s="3"/>
      <c r="G247" s="3"/>
    </row>
    <row r="248" spans="4:7">
      <c r="D248" s="3"/>
      <c r="E248" s="3"/>
      <c r="F248" s="3"/>
      <c r="G248" s="3"/>
    </row>
    <row r="249" spans="4:7">
      <c r="D249" s="3"/>
      <c r="E249" s="3"/>
      <c r="F249" s="3"/>
      <c r="G249" s="3"/>
    </row>
    <row r="250" spans="4:7">
      <c r="D250" s="3"/>
      <c r="E250" s="3"/>
      <c r="F250" s="3"/>
      <c r="G250" s="3"/>
    </row>
    <row r="251" spans="4:7">
      <c r="D251" s="3"/>
      <c r="E251" s="3"/>
      <c r="F251" s="3"/>
      <c r="G251" s="3"/>
    </row>
    <row r="252" spans="4:7">
      <c r="D252" s="3"/>
      <c r="E252" s="3"/>
      <c r="F252" s="3"/>
      <c r="G252" s="3"/>
    </row>
    <row r="253" spans="4:7">
      <c r="D253" s="3"/>
      <c r="E253" s="3"/>
      <c r="F253" s="3"/>
      <c r="G253" s="3"/>
    </row>
    <row r="254" spans="4:7">
      <c r="D254" s="3"/>
      <c r="E254" s="3"/>
      <c r="F254" s="3"/>
      <c r="G254" s="3"/>
    </row>
    <row r="255" spans="4:7">
      <c r="D255" s="3"/>
      <c r="E255" s="3"/>
      <c r="F255" s="3"/>
      <c r="G255" s="3"/>
    </row>
    <row r="256" spans="4:7">
      <c r="D256" s="3"/>
      <c r="E256" s="3"/>
      <c r="F256" s="3"/>
      <c r="G256" s="3"/>
    </row>
    <row r="257" spans="4:7">
      <c r="D257" s="3"/>
      <c r="E257" s="3"/>
      <c r="F257" s="3"/>
      <c r="G257" s="3"/>
    </row>
    <row r="258" spans="4:7">
      <c r="D258" s="3"/>
      <c r="E258" s="3"/>
      <c r="F258" s="3"/>
      <c r="G258" s="3"/>
    </row>
    <row r="259" spans="4:7">
      <c r="D259" s="3"/>
      <c r="E259" s="3"/>
      <c r="F259" s="3"/>
      <c r="G259" s="3"/>
    </row>
    <row r="260" spans="4:7">
      <c r="D260" s="3"/>
      <c r="E260" s="3"/>
      <c r="F260" s="3"/>
      <c r="G260" s="3"/>
    </row>
    <row r="261" spans="4:7">
      <c r="D261" s="3"/>
      <c r="E261" s="3"/>
      <c r="F261" s="3"/>
      <c r="G261" s="3"/>
    </row>
    <row r="262" spans="4:7">
      <c r="D262" s="3"/>
      <c r="E262" s="3"/>
      <c r="F262" s="3"/>
      <c r="G262" s="3"/>
    </row>
    <row r="263" spans="4:7">
      <c r="D263" s="3"/>
      <c r="E263" s="3"/>
      <c r="F263" s="3"/>
      <c r="G263" s="3"/>
    </row>
    <row r="264" spans="4:7">
      <c r="D264" s="3"/>
      <c r="E264" s="3"/>
      <c r="F264" s="3"/>
      <c r="G264" s="3"/>
    </row>
    <row r="265" spans="4:7">
      <c r="D265" s="3"/>
      <c r="E265" s="3"/>
      <c r="F265" s="3"/>
      <c r="G265" s="3"/>
    </row>
    <row r="266" spans="4:7">
      <c r="D266" s="3"/>
      <c r="E266" s="3"/>
      <c r="F266" s="3"/>
      <c r="G266" s="3"/>
    </row>
    <row r="267" spans="4:7">
      <c r="D267" s="3"/>
      <c r="E267" s="3"/>
      <c r="F267" s="3"/>
      <c r="G267" s="3"/>
    </row>
    <row r="268" spans="4:7">
      <c r="D268" s="3"/>
      <c r="E268" s="3"/>
      <c r="F268" s="3"/>
      <c r="G268" s="3"/>
    </row>
    <row r="269" spans="4:7">
      <c r="D269" s="3"/>
      <c r="E269" s="3"/>
      <c r="F269" s="3"/>
      <c r="G269" s="3"/>
    </row>
    <row r="270" spans="4:7">
      <c r="D270" s="3"/>
      <c r="E270" s="3"/>
      <c r="F270" s="3"/>
      <c r="G270" s="3"/>
    </row>
    <row r="271" spans="4:7">
      <c r="D271" s="3"/>
      <c r="E271" s="3"/>
      <c r="F271" s="3"/>
      <c r="G271" s="3"/>
    </row>
    <row r="272" spans="4:7">
      <c r="D272" s="3"/>
      <c r="E272" s="3"/>
      <c r="F272" s="3"/>
      <c r="G272" s="3"/>
    </row>
    <row r="273" spans="4:7">
      <c r="D273" s="3"/>
      <c r="E273" s="3"/>
      <c r="F273" s="3"/>
      <c r="G273" s="3"/>
    </row>
    <row r="274" spans="4:7">
      <c r="D274" s="3"/>
      <c r="E274" s="3"/>
      <c r="F274" s="3"/>
      <c r="G274" s="3"/>
    </row>
    <row r="275" spans="4:7">
      <c r="D275" s="3"/>
      <c r="E275" s="3"/>
      <c r="F275" s="3"/>
      <c r="G275" s="3"/>
    </row>
    <row r="276" spans="4:7">
      <c r="D276" s="3"/>
      <c r="E276" s="3"/>
      <c r="F276" s="3"/>
      <c r="G276" s="3"/>
    </row>
    <row r="277" spans="4:7">
      <c r="D277" s="3"/>
      <c r="E277" s="3"/>
      <c r="F277" s="3"/>
      <c r="G277" s="3"/>
    </row>
    <row r="278" spans="4:7">
      <c r="D278" s="3"/>
      <c r="E278" s="3"/>
      <c r="F278" s="3"/>
      <c r="G278" s="3"/>
    </row>
    <row r="279" spans="4:7">
      <c r="D279" s="3"/>
      <c r="E279" s="3"/>
      <c r="F279" s="3"/>
      <c r="G279" s="3"/>
    </row>
    <row r="280" spans="4:7">
      <c r="D280" s="3"/>
      <c r="E280" s="3"/>
      <c r="F280" s="3"/>
      <c r="G280" s="3"/>
    </row>
    <row r="281" spans="4:7">
      <c r="D281" s="3"/>
      <c r="E281" s="3"/>
      <c r="F281" s="3"/>
      <c r="G281" s="3"/>
    </row>
    <row r="282" spans="4:7">
      <c r="D282" s="3"/>
      <c r="E282" s="3"/>
      <c r="F282" s="3"/>
      <c r="G282" s="3"/>
    </row>
    <row r="283" spans="4:7">
      <c r="D283" s="3"/>
      <c r="E283" s="3"/>
      <c r="F283" s="3"/>
      <c r="G283" s="3"/>
    </row>
    <row r="284" spans="4:7">
      <c r="D284" s="3"/>
      <c r="E284" s="3"/>
      <c r="F284" s="3"/>
      <c r="G284" s="3"/>
    </row>
    <row r="285" spans="4:7">
      <c r="D285" s="3"/>
      <c r="E285" s="3"/>
      <c r="F285" s="3"/>
      <c r="G285" s="3"/>
    </row>
    <row r="286" spans="4:7">
      <c r="D286" s="3"/>
      <c r="E286" s="3"/>
      <c r="F286" s="3"/>
      <c r="G286" s="3"/>
    </row>
    <row r="287" spans="4:7">
      <c r="D287" s="3"/>
      <c r="E287" s="3"/>
      <c r="F287" s="3"/>
      <c r="G287" s="3"/>
    </row>
    <row r="288" spans="4:7">
      <c r="D288" s="3"/>
      <c r="E288" s="3"/>
      <c r="F288" s="3"/>
      <c r="G288" s="3"/>
    </row>
    <row r="289" spans="4:7">
      <c r="D289" s="3"/>
      <c r="E289" s="3"/>
      <c r="F289" s="3"/>
      <c r="G289" s="3"/>
    </row>
    <row r="290" spans="4:7">
      <c r="D290" s="3"/>
      <c r="E290" s="3"/>
      <c r="F290" s="3"/>
      <c r="G290" s="3"/>
    </row>
    <row r="291" spans="4:7">
      <c r="D291" s="3"/>
      <c r="E291" s="3"/>
      <c r="F291" s="3"/>
      <c r="G291" s="3"/>
    </row>
    <row r="292" spans="4:7">
      <c r="D292" s="3"/>
      <c r="E292" s="3"/>
      <c r="F292" s="3"/>
      <c r="G292" s="3"/>
    </row>
    <row r="293" spans="4:7">
      <c r="D293" s="3"/>
      <c r="E293" s="3"/>
      <c r="F293" s="3"/>
      <c r="G293" s="3"/>
    </row>
    <row r="294" spans="4:7">
      <c r="D294" s="3"/>
      <c r="E294" s="3"/>
      <c r="F294" s="3"/>
      <c r="G294" s="3"/>
    </row>
    <row r="295" spans="4:7">
      <c r="D295" s="3"/>
      <c r="E295" s="3"/>
      <c r="F295" s="3"/>
      <c r="G295" s="3"/>
    </row>
    <row r="296" spans="4:7">
      <c r="D296" s="3"/>
      <c r="E296" s="3"/>
      <c r="F296" s="3"/>
      <c r="G296" s="3"/>
    </row>
    <row r="297" spans="4:7">
      <c r="D297" s="3"/>
      <c r="E297" s="3"/>
      <c r="F297" s="3"/>
      <c r="G297" s="3"/>
    </row>
    <row r="298" spans="4:7">
      <c r="D298" s="3"/>
      <c r="E298" s="3"/>
      <c r="F298" s="3"/>
      <c r="G298" s="3"/>
    </row>
    <row r="299" spans="4:7">
      <c r="D299" s="3"/>
      <c r="E299" s="3"/>
      <c r="F299" s="3"/>
      <c r="G299" s="3"/>
    </row>
    <row r="300" spans="4:7">
      <c r="D300" s="3"/>
      <c r="E300" s="3"/>
      <c r="F300" s="3"/>
      <c r="G300" s="3"/>
    </row>
    <row r="301" spans="4:7">
      <c r="D301" s="3"/>
      <c r="E301" s="3"/>
      <c r="F301" s="3"/>
      <c r="G301" s="3"/>
    </row>
    <row r="302" spans="4:7">
      <c r="D302" s="3"/>
      <c r="E302" s="3"/>
      <c r="F302" s="3"/>
      <c r="G302" s="3"/>
    </row>
    <row r="303" spans="4:7">
      <c r="D303" s="3"/>
      <c r="E303" s="3"/>
      <c r="F303" s="3"/>
      <c r="G303" s="3"/>
    </row>
    <row r="304" spans="4:7">
      <c r="D304" s="3"/>
      <c r="E304" s="3"/>
      <c r="F304" s="3"/>
      <c r="G304" s="3"/>
    </row>
    <row r="305" spans="4:7">
      <c r="D305" s="3"/>
      <c r="E305" s="3"/>
      <c r="F305" s="3"/>
      <c r="G305" s="3"/>
    </row>
    <row r="306" spans="4:7">
      <c r="D306" s="3"/>
      <c r="E306" s="3"/>
      <c r="F306" s="3"/>
      <c r="G306" s="3"/>
    </row>
    <row r="307" spans="4:7">
      <c r="D307" s="3"/>
      <c r="E307" s="3"/>
      <c r="F307" s="3"/>
      <c r="G307" s="3"/>
    </row>
    <row r="308" spans="4:7">
      <c r="D308" s="3"/>
      <c r="E308" s="3"/>
      <c r="F308" s="3"/>
      <c r="G308" s="3"/>
    </row>
    <row r="309" spans="4:7">
      <c r="D309" s="3"/>
      <c r="E309" s="3"/>
      <c r="F309" s="3"/>
      <c r="G309" s="3"/>
    </row>
    <row r="310" spans="4:7">
      <c r="D310" s="3"/>
      <c r="E310" s="3"/>
      <c r="F310" s="3"/>
      <c r="G310" s="3"/>
    </row>
    <row r="311" spans="4:7">
      <c r="D311" s="3"/>
      <c r="E311" s="3"/>
      <c r="F311" s="3"/>
      <c r="G311" s="3"/>
    </row>
    <row r="312" spans="4:7">
      <c r="D312" s="3"/>
      <c r="E312" s="3"/>
      <c r="F312" s="3"/>
      <c r="G312" s="3"/>
    </row>
    <row r="313" spans="4:7">
      <c r="D313" s="3"/>
      <c r="E313" s="3"/>
      <c r="F313" s="3"/>
      <c r="G313" s="3"/>
    </row>
    <row r="314" spans="4:7">
      <c r="D314" s="3"/>
      <c r="E314" s="3"/>
      <c r="F314" s="3"/>
      <c r="G314" s="3"/>
    </row>
    <row r="315" spans="4:7">
      <c r="D315" s="3"/>
      <c r="E315" s="3"/>
      <c r="F315" s="3"/>
      <c r="G315" s="3"/>
    </row>
    <row r="316" spans="4:7">
      <c r="D316" s="3"/>
      <c r="E316" s="3"/>
      <c r="F316" s="3"/>
      <c r="G316" s="3"/>
    </row>
    <row r="317" spans="4:7">
      <c r="D317" s="3"/>
      <c r="E317" s="3"/>
      <c r="F317" s="3"/>
      <c r="G317" s="3"/>
    </row>
    <row r="318" spans="4:7">
      <c r="D318" s="3"/>
      <c r="E318" s="3"/>
      <c r="F318" s="3"/>
      <c r="G318" s="3"/>
    </row>
    <row r="319" spans="4:7">
      <c r="D319" s="3"/>
      <c r="E319" s="3"/>
      <c r="F319" s="3"/>
      <c r="G319" s="3"/>
    </row>
    <row r="320" spans="4:7">
      <c r="D320" s="3"/>
      <c r="E320" s="3"/>
      <c r="F320" s="3"/>
      <c r="G320" s="3"/>
    </row>
    <row r="321" spans="4:7">
      <c r="D321" s="3"/>
      <c r="E321" s="3"/>
      <c r="F321" s="3"/>
      <c r="G321" s="3"/>
    </row>
    <row r="322" spans="4:7">
      <c r="D322" s="3"/>
      <c r="E322" s="3"/>
      <c r="F322" s="3"/>
      <c r="G322" s="3"/>
    </row>
    <row r="323" spans="4:7">
      <c r="D323" s="3"/>
      <c r="E323" s="3"/>
      <c r="F323" s="3"/>
      <c r="G323" s="3"/>
    </row>
    <row r="324" spans="4:7">
      <c r="D324" s="3"/>
      <c r="E324" s="3"/>
      <c r="F324" s="3"/>
      <c r="G324" s="3"/>
    </row>
    <row r="325" spans="4:7">
      <c r="D325" s="3"/>
      <c r="E325" s="3"/>
      <c r="F325" s="3"/>
      <c r="G325" s="3"/>
    </row>
    <row r="326" spans="4:7">
      <c r="D326" s="3"/>
      <c r="E326" s="3"/>
      <c r="F326" s="3"/>
      <c r="G326" s="3"/>
    </row>
    <row r="327" spans="4:7">
      <c r="D327" s="3"/>
      <c r="E327" s="3"/>
      <c r="F327" s="3"/>
      <c r="G327" s="3"/>
    </row>
    <row r="328" spans="4:7">
      <c r="D328" s="3"/>
      <c r="E328" s="3"/>
      <c r="F328" s="3"/>
      <c r="G328" s="3"/>
    </row>
    <row r="329" spans="4:7">
      <c r="D329" s="3"/>
      <c r="E329" s="3"/>
      <c r="F329" s="3"/>
      <c r="G329" s="3"/>
    </row>
    <row r="330" spans="4:7">
      <c r="D330" s="3"/>
      <c r="E330" s="3"/>
      <c r="F330" s="3"/>
      <c r="G330" s="3"/>
    </row>
    <row r="331" spans="4:7">
      <c r="D331" s="3"/>
      <c r="E331" s="3"/>
      <c r="F331" s="3"/>
      <c r="G331" s="3"/>
    </row>
    <row r="332" spans="4:7">
      <c r="D332" s="3"/>
      <c r="E332" s="3"/>
      <c r="F332" s="3"/>
      <c r="G332" s="3"/>
    </row>
    <row r="333" spans="4:7">
      <c r="D333" s="3"/>
      <c r="E333" s="3"/>
      <c r="F333" s="3"/>
      <c r="G333" s="3"/>
    </row>
    <row r="334" spans="4:7">
      <c r="D334" s="3"/>
      <c r="E334" s="3"/>
      <c r="F334" s="3"/>
      <c r="G334" s="3"/>
    </row>
    <row r="335" spans="4:7">
      <c r="D335" s="3"/>
      <c r="E335" s="3"/>
      <c r="F335" s="3"/>
      <c r="G335" s="3"/>
    </row>
    <row r="336" spans="4:7">
      <c r="D336" s="3"/>
      <c r="E336" s="3"/>
      <c r="F336" s="3"/>
      <c r="G336" s="3"/>
    </row>
    <row r="337" spans="4:7">
      <c r="D337" s="3"/>
      <c r="E337" s="3"/>
      <c r="F337" s="3"/>
      <c r="G337" s="3"/>
    </row>
    <row r="338" spans="4:7">
      <c r="D338" s="3"/>
      <c r="E338" s="3"/>
      <c r="F338" s="3"/>
      <c r="G338" s="3"/>
    </row>
    <row r="339" spans="4:7">
      <c r="D339" s="3"/>
      <c r="E339" s="3"/>
      <c r="F339" s="3"/>
      <c r="G339" s="3"/>
    </row>
    <row r="340" spans="4:7">
      <c r="D340" s="3"/>
      <c r="E340" s="3"/>
      <c r="F340" s="3"/>
      <c r="G340" s="3"/>
    </row>
    <row r="341" spans="4:7">
      <c r="D341" s="3"/>
      <c r="E341" s="3"/>
      <c r="F341" s="3"/>
      <c r="G341" s="3"/>
    </row>
    <row r="342" spans="4:7">
      <c r="D342" s="3"/>
      <c r="E342" s="3"/>
      <c r="F342" s="3"/>
      <c r="G342" s="3"/>
    </row>
    <row r="343" spans="4:7">
      <c r="D343" s="3"/>
      <c r="E343" s="3"/>
      <c r="F343" s="3"/>
      <c r="G343" s="3"/>
    </row>
    <row r="344" spans="4:7">
      <c r="D344" s="3"/>
      <c r="E344" s="3"/>
      <c r="F344" s="3"/>
      <c r="G344" s="3"/>
    </row>
    <row r="345" spans="4:7">
      <c r="D345" s="3"/>
      <c r="E345" s="3"/>
      <c r="F345" s="3"/>
      <c r="G345" s="3"/>
    </row>
    <row r="346" spans="4:7">
      <c r="D346" s="3"/>
      <c r="E346" s="3"/>
      <c r="F346" s="3"/>
      <c r="G346" s="3"/>
    </row>
    <row r="347" spans="4:7">
      <c r="D347" s="3"/>
      <c r="E347" s="3"/>
      <c r="F347" s="3"/>
      <c r="G347" s="3"/>
    </row>
    <row r="348" spans="4:7">
      <c r="D348" s="3"/>
      <c r="E348" s="3"/>
      <c r="F348" s="3"/>
      <c r="G348" s="3"/>
    </row>
    <row r="349" spans="4:7">
      <c r="D349" s="3"/>
      <c r="E349" s="3"/>
      <c r="F349" s="3"/>
      <c r="G349" s="3"/>
    </row>
    <row r="350" spans="4:7">
      <c r="D350" s="3"/>
      <c r="E350" s="3"/>
      <c r="F350" s="3"/>
      <c r="G350" s="3"/>
    </row>
    <row r="351" spans="4:7">
      <c r="D351" s="3"/>
      <c r="E351" s="3"/>
      <c r="F351" s="3"/>
      <c r="G351" s="3"/>
    </row>
    <row r="352" spans="4:7">
      <c r="D352" s="3"/>
      <c r="E352" s="3"/>
      <c r="F352" s="3"/>
      <c r="G352" s="3"/>
    </row>
    <row r="353" spans="4:7">
      <c r="D353" s="3"/>
      <c r="E353" s="3"/>
      <c r="F353" s="3"/>
      <c r="G353" s="3"/>
    </row>
    <row r="354" spans="4:7">
      <c r="D354" s="3"/>
      <c r="E354" s="3"/>
      <c r="F354" s="3"/>
      <c r="G354" s="3"/>
    </row>
    <row r="355" spans="4:7">
      <c r="D355" s="3"/>
      <c r="E355" s="3"/>
      <c r="F355" s="3"/>
      <c r="G355" s="3"/>
    </row>
    <row r="356" spans="4:7">
      <c r="D356" s="3"/>
      <c r="E356" s="3"/>
      <c r="F356" s="3"/>
      <c r="G356" s="3"/>
    </row>
    <row r="357" spans="4:7">
      <c r="D357" s="3"/>
      <c r="E357" s="3"/>
      <c r="F357" s="3"/>
      <c r="G357" s="3"/>
    </row>
    <row r="358" spans="4:7">
      <c r="D358" s="3"/>
      <c r="E358" s="3"/>
      <c r="F358" s="3"/>
      <c r="G358" s="3"/>
    </row>
    <row r="359" spans="4:7">
      <c r="D359" s="3"/>
      <c r="E359" s="3"/>
      <c r="F359" s="3"/>
      <c r="G359" s="3"/>
    </row>
    <row r="360" spans="4:7">
      <c r="D360" s="3"/>
      <c r="E360" s="3"/>
      <c r="F360" s="3"/>
      <c r="G360" s="3"/>
    </row>
    <row r="361" spans="4:7">
      <c r="D361" s="3"/>
      <c r="E361" s="3"/>
      <c r="F361" s="3"/>
      <c r="G361" s="3"/>
    </row>
    <row r="362" spans="4:7">
      <c r="D362" s="3"/>
      <c r="E362" s="3"/>
      <c r="F362" s="3"/>
      <c r="G362" s="3"/>
    </row>
    <row r="363" spans="4:7">
      <c r="D363" s="3"/>
      <c r="E363" s="3"/>
      <c r="F363" s="3"/>
      <c r="G363" s="3"/>
    </row>
    <row r="364" spans="4:7">
      <c r="D364" s="3"/>
      <c r="E364" s="3"/>
      <c r="F364" s="3"/>
      <c r="G364" s="3"/>
    </row>
    <row r="365" spans="4:7">
      <c r="D365" s="3"/>
      <c r="E365" s="3"/>
      <c r="F365" s="3"/>
      <c r="G365" s="3"/>
    </row>
    <row r="366" spans="4:7">
      <c r="D366" s="3"/>
      <c r="E366" s="3"/>
      <c r="F366" s="3"/>
      <c r="G366" s="3"/>
    </row>
    <row r="367" spans="4:7">
      <c r="D367" s="3"/>
      <c r="E367" s="3"/>
      <c r="F367" s="3"/>
      <c r="G367" s="3"/>
    </row>
    <row r="368" spans="4:7">
      <c r="D368" s="3"/>
      <c r="E368" s="3"/>
      <c r="F368" s="3"/>
      <c r="G368" s="3"/>
    </row>
    <row r="369" spans="4:7">
      <c r="D369" s="3"/>
      <c r="E369" s="3"/>
      <c r="F369" s="3"/>
      <c r="G369" s="3"/>
    </row>
    <row r="370" spans="4:7">
      <c r="D370" s="3"/>
      <c r="E370" s="3"/>
      <c r="F370" s="3"/>
      <c r="G370" s="3"/>
    </row>
    <row r="371" spans="4:7">
      <c r="D371" s="3"/>
      <c r="E371" s="3"/>
      <c r="F371" s="3"/>
      <c r="G371" s="3"/>
    </row>
    <row r="372" spans="4:7">
      <c r="D372" s="3"/>
      <c r="E372" s="3"/>
      <c r="F372" s="3"/>
      <c r="G372" s="3"/>
    </row>
    <row r="373" spans="4:7">
      <c r="D373" s="3"/>
      <c r="E373" s="3"/>
      <c r="F373" s="3"/>
      <c r="G373" s="3"/>
    </row>
    <row r="374" spans="4:7">
      <c r="D374" s="3"/>
      <c r="E374" s="3"/>
      <c r="F374" s="3"/>
      <c r="G374" s="3"/>
    </row>
    <row r="375" spans="4:7">
      <c r="D375" s="3"/>
      <c r="E375" s="3"/>
      <c r="F375" s="3"/>
      <c r="G375" s="3"/>
    </row>
    <row r="376" spans="4:7">
      <c r="D376" s="3"/>
      <c r="E376" s="3"/>
      <c r="F376" s="3"/>
      <c r="G376" s="3"/>
    </row>
    <row r="377" spans="4:7">
      <c r="D377" s="3"/>
      <c r="E377" s="3"/>
      <c r="F377" s="3"/>
      <c r="G377" s="3"/>
    </row>
    <row r="378" spans="4:7">
      <c r="D378" s="3"/>
      <c r="E378" s="3"/>
      <c r="F378" s="3"/>
      <c r="G378" s="3"/>
    </row>
    <row r="379" spans="4:7">
      <c r="D379" s="3"/>
      <c r="E379" s="3"/>
      <c r="F379" s="3"/>
      <c r="G379" s="3"/>
    </row>
    <row r="380" spans="4:7">
      <c r="D380" s="3"/>
      <c r="E380" s="3"/>
      <c r="F380" s="3"/>
      <c r="G380" s="3"/>
    </row>
    <row r="381" spans="4:7">
      <c r="D381" s="3"/>
      <c r="E381" s="3"/>
      <c r="F381" s="3"/>
      <c r="G381" s="3"/>
    </row>
    <row r="382" spans="4:7">
      <c r="D382" s="3"/>
      <c r="E382" s="3"/>
      <c r="F382" s="3"/>
      <c r="G382" s="3"/>
    </row>
    <row r="383" spans="4:7">
      <c r="D383" s="3"/>
      <c r="E383" s="3"/>
      <c r="F383" s="3"/>
      <c r="G383" s="3"/>
    </row>
    <row r="384" spans="4:7">
      <c r="D384" s="3"/>
      <c r="E384" s="3"/>
      <c r="F384" s="3"/>
      <c r="G384" s="3"/>
    </row>
    <row r="385" spans="4:7">
      <c r="D385" s="3"/>
      <c r="E385" s="3"/>
      <c r="F385" s="3"/>
      <c r="G385" s="3"/>
    </row>
    <row r="386" spans="4:7">
      <c r="D386" s="3"/>
      <c r="E386" s="3"/>
      <c r="F386" s="3"/>
      <c r="G386" s="3"/>
    </row>
    <row r="387" spans="4:7">
      <c r="D387" s="3"/>
      <c r="E387" s="3"/>
      <c r="F387" s="3"/>
      <c r="G387" s="3"/>
    </row>
    <row r="388" spans="4:7">
      <c r="D388" s="3"/>
      <c r="E388" s="3"/>
      <c r="F388" s="3"/>
      <c r="G388" s="3"/>
    </row>
    <row r="389" spans="4:7">
      <c r="D389" s="3"/>
      <c r="E389" s="3"/>
      <c r="F389" s="3"/>
      <c r="G389" s="3"/>
    </row>
    <row r="390" spans="4:7">
      <c r="D390" s="3"/>
      <c r="E390" s="3"/>
      <c r="F390" s="3"/>
      <c r="G390" s="3"/>
    </row>
    <row r="391" spans="4:7">
      <c r="D391" s="3"/>
      <c r="E391" s="3"/>
      <c r="F391" s="3"/>
      <c r="G391" s="3"/>
    </row>
    <row r="392" spans="4:7">
      <c r="D392" s="3"/>
      <c r="E392" s="3"/>
      <c r="F392" s="3"/>
      <c r="G392" s="3"/>
    </row>
    <row r="393" spans="4:7">
      <c r="D393" s="3"/>
      <c r="E393" s="3"/>
      <c r="F393" s="3"/>
      <c r="G393" s="3"/>
    </row>
    <row r="394" spans="4:7">
      <c r="D394" s="3"/>
      <c r="E394" s="3"/>
      <c r="F394" s="3"/>
      <c r="G394" s="3"/>
    </row>
    <row r="395" spans="4:7">
      <c r="D395" s="3"/>
      <c r="E395" s="3"/>
      <c r="F395" s="3"/>
      <c r="G395" s="3"/>
    </row>
    <row r="396" spans="4:7">
      <c r="D396" s="3"/>
      <c r="E396" s="3"/>
      <c r="F396" s="3"/>
      <c r="G396" s="3"/>
    </row>
    <row r="397" spans="4:7">
      <c r="D397" s="3"/>
      <c r="E397" s="3"/>
      <c r="F397" s="3"/>
      <c r="G397" s="3"/>
    </row>
    <row r="398" spans="4:7">
      <c r="D398" s="3"/>
      <c r="E398" s="3"/>
      <c r="F398" s="3"/>
      <c r="G398" s="3"/>
    </row>
    <row r="399" spans="4:7">
      <c r="D399" s="3"/>
      <c r="E399" s="3"/>
      <c r="F399" s="3"/>
      <c r="G399" s="3"/>
    </row>
    <row r="400" spans="4:7">
      <c r="D400" s="3"/>
      <c r="E400" s="3"/>
      <c r="F400" s="3"/>
      <c r="G400" s="3"/>
    </row>
    <row r="401" spans="4:7">
      <c r="D401" s="3"/>
      <c r="E401" s="3"/>
      <c r="F401" s="3"/>
      <c r="G401" s="3"/>
    </row>
    <row r="402" spans="4:7">
      <c r="D402" s="3"/>
      <c r="E402" s="3"/>
      <c r="F402" s="3"/>
      <c r="G402" s="3"/>
    </row>
    <row r="403" spans="4:7">
      <c r="D403" s="3"/>
      <c r="E403" s="3"/>
      <c r="F403" s="3"/>
      <c r="G403" s="3"/>
    </row>
    <row r="404" spans="4:7">
      <c r="D404" s="3"/>
      <c r="E404" s="3"/>
      <c r="F404" s="3"/>
      <c r="G404" s="3"/>
    </row>
    <row r="405" spans="4:7">
      <c r="D405" s="3"/>
      <c r="E405" s="3"/>
      <c r="F405" s="3"/>
      <c r="G405" s="3"/>
    </row>
    <row r="406" spans="4:7">
      <c r="D406" s="3"/>
      <c r="E406" s="3"/>
      <c r="F406" s="3"/>
      <c r="G406" s="3"/>
    </row>
    <row r="407" spans="4:7">
      <c r="D407" s="3"/>
      <c r="E407" s="3"/>
      <c r="F407" s="3"/>
      <c r="G407" s="3"/>
    </row>
    <row r="408" spans="4:7">
      <c r="D408" s="3"/>
      <c r="E408" s="3"/>
      <c r="F408" s="3"/>
      <c r="G408" s="3"/>
    </row>
    <row r="409" spans="4:7">
      <c r="D409" s="3"/>
      <c r="E409" s="3"/>
      <c r="F409" s="3"/>
      <c r="G409" s="3"/>
    </row>
    <row r="410" spans="4:7">
      <c r="D410" s="3"/>
      <c r="E410" s="3"/>
      <c r="F410" s="3"/>
      <c r="G410" s="3"/>
    </row>
    <row r="411" spans="4:7">
      <c r="D411" s="3"/>
      <c r="E411" s="3"/>
      <c r="F411" s="3"/>
      <c r="G411" s="3"/>
    </row>
    <row r="412" spans="4:7">
      <c r="D412" s="3"/>
      <c r="E412" s="3"/>
      <c r="F412" s="3"/>
      <c r="G412" s="3"/>
    </row>
    <row r="413" spans="4:7">
      <c r="D413" s="3"/>
      <c r="E413" s="3"/>
      <c r="F413" s="3"/>
      <c r="G413" s="3"/>
    </row>
    <row r="414" spans="4:7">
      <c r="D414" s="3"/>
      <c r="E414" s="3"/>
      <c r="F414" s="3"/>
      <c r="G414" s="3"/>
    </row>
    <row r="415" spans="4:7">
      <c r="D415" s="3"/>
      <c r="E415" s="3"/>
      <c r="F415" s="3"/>
      <c r="G415" s="3"/>
    </row>
    <row r="416" spans="4:7">
      <c r="D416" s="3"/>
      <c r="E416" s="3"/>
      <c r="F416" s="3"/>
      <c r="G416" s="3"/>
    </row>
    <row r="417" spans="4:7">
      <c r="D417" s="3"/>
      <c r="E417" s="3"/>
      <c r="F417" s="3"/>
      <c r="G417" s="3"/>
    </row>
    <row r="418" spans="4:7">
      <c r="D418" s="3"/>
      <c r="E418" s="3"/>
      <c r="F418" s="3"/>
      <c r="G418" s="3"/>
    </row>
    <row r="419" spans="4:7">
      <c r="D419" s="3"/>
      <c r="E419" s="3"/>
      <c r="F419" s="3"/>
      <c r="G419" s="3"/>
    </row>
    <row r="420" spans="4:7">
      <c r="D420" s="3"/>
      <c r="E420" s="3"/>
      <c r="F420" s="3"/>
      <c r="G420" s="3"/>
    </row>
    <row r="421" spans="4:7">
      <c r="D421" s="3"/>
      <c r="E421" s="3"/>
      <c r="F421" s="3"/>
      <c r="G421" s="3"/>
    </row>
    <row r="422" spans="4:7">
      <c r="D422" s="3"/>
      <c r="E422" s="3"/>
      <c r="F422" s="3"/>
      <c r="G422" s="3"/>
    </row>
    <row r="423" spans="4:7">
      <c r="D423" s="3"/>
      <c r="E423" s="3"/>
      <c r="F423" s="3"/>
      <c r="G423" s="3"/>
    </row>
    <row r="424" spans="4:7">
      <c r="D424" s="3"/>
      <c r="E424" s="3"/>
      <c r="F424" s="3"/>
      <c r="G424" s="3"/>
    </row>
    <row r="425" spans="4:7">
      <c r="D425" s="3"/>
      <c r="E425" s="3"/>
      <c r="F425" s="3"/>
      <c r="G425" s="3"/>
    </row>
    <row r="426" spans="4:7">
      <c r="D426" s="3"/>
      <c r="E426" s="3"/>
      <c r="F426" s="3"/>
      <c r="G426" s="3"/>
    </row>
    <row r="427" spans="4:7">
      <c r="D427" s="3"/>
      <c r="E427" s="3"/>
      <c r="F427" s="3"/>
      <c r="G427" s="3"/>
    </row>
    <row r="428" spans="4:7">
      <c r="D428" s="3"/>
      <c r="E428" s="3"/>
      <c r="F428" s="3"/>
      <c r="G428" s="3"/>
    </row>
    <row r="429" spans="4:7">
      <c r="D429" s="3"/>
      <c r="E429" s="3"/>
      <c r="F429" s="3"/>
      <c r="G429" s="3"/>
    </row>
    <row r="430" spans="4:7">
      <c r="D430" s="3"/>
      <c r="E430" s="3"/>
      <c r="F430" s="3"/>
      <c r="G430" s="3"/>
    </row>
    <row r="431" spans="4:7">
      <c r="D431" s="3"/>
      <c r="E431" s="3"/>
      <c r="F431" s="3"/>
      <c r="G431" s="3"/>
    </row>
    <row r="432" spans="4:7">
      <c r="D432" s="3"/>
      <c r="E432" s="3"/>
      <c r="F432" s="3"/>
      <c r="G432" s="3"/>
    </row>
    <row r="433" spans="4:7">
      <c r="D433" s="3"/>
      <c r="E433" s="3"/>
      <c r="F433" s="3"/>
      <c r="G433" s="3"/>
    </row>
    <row r="434" spans="4:7">
      <c r="D434" s="3"/>
      <c r="E434" s="3"/>
      <c r="F434" s="3"/>
      <c r="G434" s="3"/>
    </row>
    <row r="435" spans="4:7">
      <c r="D435" s="3"/>
      <c r="E435" s="3"/>
      <c r="F435" s="3"/>
      <c r="G435" s="3"/>
    </row>
    <row r="436" spans="4:7">
      <c r="D436" s="3"/>
      <c r="E436" s="3"/>
      <c r="F436" s="3"/>
      <c r="G436" s="3"/>
    </row>
    <row r="437" spans="4:7">
      <c r="D437" s="3"/>
      <c r="E437" s="3"/>
      <c r="F437" s="3"/>
      <c r="G437" s="3"/>
    </row>
    <row r="438" spans="4:7">
      <c r="D438" s="3"/>
      <c r="E438" s="3"/>
      <c r="F438" s="3"/>
      <c r="G438" s="3"/>
    </row>
    <row r="439" spans="4:7">
      <c r="D439" s="3"/>
      <c r="E439" s="3"/>
      <c r="F439" s="3"/>
      <c r="G439" s="3"/>
    </row>
    <row r="440" spans="4:7">
      <c r="D440" s="3"/>
      <c r="E440" s="3"/>
      <c r="F440" s="3"/>
      <c r="G440" s="3"/>
    </row>
    <row r="441" spans="4:7">
      <c r="D441" s="3"/>
      <c r="E441" s="3"/>
      <c r="F441" s="3"/>
      <c r="G441" s="3"/>
    </row>
    <row r="442" spans="4:7">
      <c r="D442" s="3"/>
      <c r="E442" s="3"/>
      <c r="F442" s="3"/>
      <c r="G442" s="3"/>
    </row>
    <row r="443" spans="4:7">
      <c r="D443" s="3"/>
      <c r="E443" s="3"/>
      <c r="F443" s="3"/>
      <c r="G443" s="3"/>
    </row>
    <row r="444" spans="4:7">
      <c r="D444" s="3"/>
      <c r="E444" s="3"/>
      <c r="F444" s="3"/>
      <c r="G444" s="3"/>
    </row>
    <row r="445" spans="4:7">
      <c r="D445" s="3"/>
      <c r="E445" s="3"/>
      <c r="F445" s="3"/>
      <c r="G445" s="3"/>
    </row>
    <row r="446" spans="4:7">
      <c r="D446" s="3"/>
      <c r="E446" s="3"/>
      <c r="F446" s="3"/>
      <c r="G446" s="3"/>
    </row>
    <row r="447" spans="4:7">
      <c r="D447" s="3"/>
      <c r="E447" s="3"/>
      <c r="F447" s="3"/>
      <c r="G447" s="3"/>
    </row>
    <row r="448" spans="4:7">
      <c r="D448" s="3"/>
      <c r="E448" s="3"/>
      <c r="F448" s="3"/>
      <c r="G448" s="3"/>
    </row>
    <row r="449" spans="4:7">
      <c r="D449" s="3"/>
      <c r="E449" s="3"/>
      <c r="F449" s="3"/>
      <c r="G449" s="3"/>
    </row>
    <row r="450" spans="4:7">
      <c r="D450" s="3"/>
      <c r="E450" s="3"/>
      <c r="F450" s="3"/>
      <c r="G450" s="3"/>
    </row>
    <row r="451" spans="4:7">
      <c r="D451" s="3"/>
      <c r="E451" s="3"/>
      <c r="F451" s="3"/>
      <c r="G451" s="3"/>
    </row>
    <row r="452" spans="4:7">
      <c r="D452" s="3"/>
      <c r="E452" s="3"/>
      <c r="F452" s="3"/>
      <c r="G452" s="3"/>
    </row>
    <row r="453" spans="4:7">
      <c r="D453" s="3"/>
      <c r="E453" s="3"/>
      <c r="F453" s="3"/>
      <c r="G453" s="3"/>
    </row>
    <row r="454" spans="4:7">
      <c r="D454" s="3"/>
      <c r="E454" s="3"/>
      <c r="F454" s="3"/>
      <c r="G454" s="3"/>
    </row>
    <row r="455" spans="4:7">
      <c r="D455" s="3"/>
      <c r="E455" s="3"/>
      <c r="F455" s="3"/>
      <c r="G455" s="3"/>
    </row>
    <row r="456" spans="4:7">
      <c r="D456" s="3"/>
      <c r="E456" s="3"/>
      <c r="F456" s="3"/>
      <c r="G456" s="3"/>
    </row>
    <row r="457" spans="4:7">
      <c r="D457" s="3"/>
      <c r="E457" s="3"/>
      <c r="F457" s="3"/>
      <c r="G457" s="3"/>
    </row>
    <row r="458" spans="4:7">
      <c r="D458" s="3"/>
      <c r="E458" s="3"/>
      <c r="F458" s="3"/>
      <c r="G458" s="3"/>
    </row>
    <row r="459" spans="4:7">
      <c r="D459" s="3"/>
      <c r="E459" s="3"/>
      <c r="F459" s="3"/>
      <c r="G459" s="3"/>
    </row>
    <row r="460" spans="4:7">
      <c r="D460" s="3"/>
      <c r="E460" s="3"/>
      <c r="F460" s="3"/>
      <c r="G460" s="3"/>
    </row>
    <row r="461" spans="4:7">
      <c r="D461" s="3"/>
      <c r="E461" s="3"/>
      <c r="F461" s="3"/>
      <c r="G461" s="3"/>
    </row>
    <row r="462" spans="4:7">
      <c r="D462" s="3"/>
      <c r="E462" s="3"/>
      <c r="F462" s="3"/>
      <c r="G462" s="3"/>
    </row>
    <row r="463" spans="4:7">
      <c r="D463" s="3"/>
      <c r="E463" s="3"/>
      <c r="F463" s="3"/>
      <c r="G463" s="3"/>
    </row>
    <row r="464" spans="4:7">
      <c r="D464" s="3"/>
      <c r="E464" s="3"/>
      <c r="F464" s="3"/>
      <c r="G464" s="3"/>
    </row>
    <row r="465" spans="4:7">
      <c r="D465" s="3"/>
      <c r="E465" s="3"/>
      <c r="F465" s="3"/>
      <c r="G465" s="3"/>
    </row>
    <row r="466" spans="4:7">
      <c r="D466" s="3"/>
      <c r="E466" s="3"/>
      <c r="F466" s="3"/>
      <c r="G466" s="3"/>
    </row>
    <row r="467" spans="4:7">
      <c r="D467" s="3"/>
      <c r="E467" s="3"/>
      <c r="F467" s="3"/>
      <c r="G467" s="3"/>
    </row>
    <row r="468" spans="4:7">
      <c r="D468" s="3"/>
      <c r="E468" s="3"/>
      <c r="F468" s="3"/>
      <c r="G468" s="3"/>
    </row>
    <row r="469" spans="4:7">
      <c r="D469" s="3"/>
      <c r="E469" s="3"/>
      <c r="F469" s="3"/>
      <c r="G469" s="3"/>
    </row>
    <row r="470" spans="4:7">
      <c r="D470" s="3"/>
      <c r="E470" s="3"/>
      <c r="F470" s="3"/>
      <c r="G470" s="3"/>
    </row>
    <row r="471" spans="4:7">
      <c r="D471" s="3"/>
      <c r="E471" s="3"/>
      <c r="F471" s="3"/>
      <c r="G471" s="3"/>
    </row>
    <row r="472" spans="4:7">
      <c r="D472" s="3"/>
      <c r="E472" s="3"/>
      <c r="F472" s="3"/>
      <c r="G472" s="3"/>
    </row>
    <row r="473" spans="4:7">
      <c r="D473" s="3"/>
      <c r="E473" s="3"/>
      <c r="F473" s="3"/>
      <c r="G473" s="3"/>
    </row>
    <row r="474" spans="4:7">
      <c r="D474" s="3"/>
      <c r="E474" s="3"/>
      <c r="F474" s="3"/>
      <c r="G474" s="3"/>
    </row>
    <row r="475" spans="4:7">
      <c r="D475" s="3"/>
      <c r="E475" s="3"/>
      <c r="F475" s="3"/>
      <c r="G475" s="3"/>
    </row>
    <row r="476" spans="4:7">
      <c r="D476" s="3"/>
      <c r="E476" s="3"/>
      <c r="F476" s="3"/>
      <c r="G476" s="3"/>
    </row>
    <row r="477" spans="4:7">
      <c r="D477" s="3"/>
      <c r="E477" s="3"/>
      <c r="F477" s="3"/>
      <c r="G477" s="3"/>
    </row>
    <row r="478" spans="4:7">
      <c r="D478" s="3"/>
      <c r="E478" s="3"/>
      <c r="F478" s="3"/>
      <c r="G478" s="3"/>
    </row>
    <row r="479" spans="4:7">
      <c r="D479" s="3"/>
      <c r="E479" s="3"/>
      <c r="F479" s="3"/>
      <c r="G479" s="3"/>
    </row>
    <row r="480" spans="4:7">
      <c r="D480" s="3"/>
      <c r="E480" s="3"/>
      <c r="F480" s="3"/>
      <c r="G480" s="3"/>
    </row>
    <row r="481" spans="4:7">
      <c r="D481" s="3"/>
      <c r="E481" s="3"/>
      <c r="F481" s="3"/>
      <c r="G481" s="3"/>
    </row>
    <row r="482" spans="4:7">
      <c r="D482" s="3"/>
      <c r="E482" s="3"/>
      <c r="F482" s="3"/>
      <c r="G482" s="3"/>
    </row>
    <row r="483" spans="4:7">
      <c r="D483" s="3"/>
      <c r="E483" s="3"/>
      <c r="F483" s="3"/>
      <c r="G483" s="3"/>
    </row>
    <row r="484" spans="4:7">
      <c r="D484" s="3"/>
      <c r="E484" s="3"/>
      <c r="F484" s="3"/>
      <c r="G484" s="3"/>
    </row>
    <row r="485" spans="4:7">
      <c r="D485" s="3"/>
      <c r="E485" s="3"/>
      <c r="F485" s="3"/>
      <c r="G485" s="3"/>
    </row>
    <row r="486" spans="4:7">
      <c r="D486" s="3"/>
      <c r="E486" s="3"/>
      <c r="F486" s="3"/>
      <c r="G486" s="3"/>
    </row>
    <row r="487" spans="4:7">
      <c r="D487" s="3"/>
      <c r="E487" s="3"/>
      <c r="F487" s="3"/>
      <c r="G487" s="3"/>
    </row>
    <row r="488" spans="4:7">
      <c r="D488" s="3"/>
      <c r="E488" s="3"/>
      <c r="F488" s="3"/>
      <c r="G488" s="3"/>
    </row>
    <row r="489" spans="4:7">
      <c r="D489" s="3"/>
      <c r="E489" s="3"/>
      <c r="F489" s="3"/>
      <c r="G489" s="3"/>
    </row>
    <row r="490" spans="4:7">
      <c r="D490" s="3"/>
      <c r="E490" s="3"/>
      <c r="F490" s="3"/>
      <c r="G490" s="3"/>
    </row>
    <row r="491" spans="4:7">
      <c r="D491" s="3"/>
      <c r="E491" s="3"/>
      <c r="F491" s="3"/>
      <c r="G491" s="3"/>
    </row>
    <row r="492" spans="4:7">
      <c r="D492" s="3"/>
      <c r="E492" s="3"/>
      <c r="F492" s="3"/>
      <c r="G492" s="3"/>
    </row>
    <row r="493" spans="4:7">
      <c r="D493" s="3"/>
      <c r="E493" s="3"/>
      <c r="F493" s="3"/>
      <c r="G493" s="3"/>
    </row>
    <row r="494" spans="4:7">
      <c r="D494" s="3"/>
      <c r="E494" s="3"/>
      <c r="F494" s="3"/>
      <c r="G494" s="3"/>
    </row>
    <row r="495" spans="4:7">
      <c r="D495" s="3"/>
      <c r="E495" s="3"/>
      <c r="F495" s="3"/>
      <c r="G495" s="3"/>
    </row>
    <row r="496" spans="4:7">
      <c r="D496" s="3"/>
      <c r="E496" s="3"/>
      <c r="F496" s="3"/>
      <c r="G496" s="3"/>
    </row>
    <row r="497" spans="4:7">
      <c r="D497" s="3"/>
      <c r="E497" s="3"/>
      <c r="F497" s="3"/>
      <c r="G497" s="3"/>
    </row>
    <row r="498" spans="4:7">
      <c r="D498" s="3"/>
      <c r="E498" s="3"/>
      <c r="F498" s="3"/>
      <c r="G498" s="3"/>
    </row>
    <row r="499" spans="4:7">
      <c r="D499" s="3"/>
      <c r="E499" s="3"/>
      <c r="F499" s="3"/>
      <c r="G499" s="3"/>
    </row>
    <row r="500" spans="4:7">
      <c r="D500" s="3"/>
      <c r="E500" s="3"/>
      <c r="F500" s="3"/>
      <c r="G500" s="3"/>
    </row>
    <row r="501" spans="4:7">
      <c r="D501" s="3"/>
      <c r="E501" s="3"/>
      <c r="F501" s="3"/>
      <c r="G501" s="3"/>
    </row>
    <row r="502" spans="4:7">
      <c r="D502" s="3"/>
      <c r="E502" s="3"/>
      <c r="F502" s="3"/>
      <c r="G502" s="3"/>
    </row>
    <row r="503" spans="4:7">
      <c r="D503" s="3"/>
      <c r="E503" s="3"/>
      <c r="F503" s="3"/>
      <c r="G503" s="3"/>
    </row>
    <row r="504" spans="4:7">
      <c r="D504" s="3"/>
      <c r="E504" s="3"/>
      <c r="F504" s="3"/>
      <c r="G504" s="3"/>
    </row>
    <row r="505" spans="4:7">
      <c r="D505" s="3"/>
      <c r="E505" s="3"/>
      <c r="F505" s="3"/>
      <c r="G505" s="3"/>
    </row>
    <row r="506" spans="4:7">
      <c r="D506" s="3"/>
      <c r="E506" s="3"/>
      <c r="F506" s="3"/>
      <c r="G506" s="3"/>
    </row>
    <row r="507" spans="4:7">
      <c r="D507" s="3"/>
      <c r="E507" s="3"/>
      <c r="F507" s="3"/>
      <c r="G507" s="3"/>
    </row>
    <row r="508" spans="4:7">
      <c r="D508" s="3"/>
      <c r="E508" s="3"/>
      <c r="F508" s="3"/>
      <c r="G508" s="3"/>
    </row>
    <row r="509" spans="4:7">
      <c r="D509" s="3"/>
      <c r="E509" s="3"/>
      <c r="F509" s="3"/>
      <c r="G509" s="3"/>
    </row>
    <row r="510" spans="4:7">
      <c r="D510" s="3"/>
      <c r="E510" s="3"/>
      <c r="F510" s="3"/>
      <c r="G510" s="3"/>
    </row>
    <row r="511" spans="4:7">
      <c r="D511" s="3"/>
      <c r="E511" s="3"/>
      <c r="F511" s="3"/>
      <c r="G511" s="3"/>
    </row>
    <row r="512" spans="4:7">
      <c r="D512" s="3"/>
      <c r="E512" s="3"/>
      <c r="F512" s="3"/>
      <c r="G512" s="3"/>
    </row>
    <row r="513" spans="4:7">
      <c r="D513" s="3"/>
      <c r="E513" s="3"/>
      <c r="F513" s="3"/>
      <c r="G513" s="3"/>
    </row>
    <row r="514" spans="4:7">
      <c r="D514" s="3"/>
      <c r="E514" s="3"/>
      <c r="F514" s="3"/>
      <c r="G514" s="3"/>
    </row>
    <row r="515" spans="4:7">
      <c r="D515" s="3"/>
      <c r="E515" s="3"/>
      <c r="F515" s="3"/>
      <c r="G515" s="3"/>
    </row>
    <row r="516" spans="4:7">
      <c r="D516" s="3"/>
      <c r="E516" s="3"/>
      <c r="F516" s="3"/>
      <c r="G516" s="3"/>
    </row>
    <row r="517" spans="4:7">
      <c r="D517" s="3"/>
      <c r="E517" s="3"/>
      <c r="F517" s="3"/>
      <c r="G517" s="3"/>
    </row>
    <row r="518" spans="4:7">
      <c r="D518" s="3"/>
      <c r="E518" s="3"/>
      <c r="F518" s="3"/>
      <c r="G518" s="3"/>
    </row>
    <row r="519" spans="4:7">
      <c r="D519" s="3"/>
      <c r="E519" s="3"/>
      <c r="F519" s="3"/>
      <c r="G519" s="3"/>
    </row>
    <row r="520" spans="4:7">
      <c r="D520" s="3"/>
      <c r="E520" s="3"/>
      <c r="F520" s="3"/>
      <c r="G520" s="3"/>
    </row>
    <row r="521" spans="4:7">
      <c r="D521" s="3"/>
      <c r="E521" s="3"/>
      <c r="F521" s="3"/>
      <c r="G521" s="3"/>
    </row>
    <row r="522" spans="4:7">
      <c r="D522" s="3"/>
      <c r="E522" s="3"/>
      <c r="F522" s="3"/>
      <c r="G522" s="3"/>
    </row>
    <row r="523" spans="4:7">
      <c r="D523" s="3"/>
      <c r="E523" s="3"/>
      <c r="F523" s="3"/>
      <c r="G523" s="3"/>
    </row>
    <row r="524" spans="4:7">
      <c r="D524" s="3"/>
      <c r="E524" s="3"/>
      <c r="F524" s="3"/>
      <c r="G524" s="3"/>
    </row>
    <row r="525" spans="4:7">
      <c r="D525" s="3"/>
      <c r="E525" s="3"/>
      <c r="F525" s="3"/>
      <c r="G525" s="3"/>
    </row>
    <row r="526" spans="4:7">
      <c r="D526" s="3"/>
      <c r="E526" s="3"/>
      <c r="F526" s="3"/>
      <c r="G526" s="3"/>
    </row>
    <row r="527" spans="4:7">
      <c r="D527" s="3"/>
      <c r="E527" s="3"/>
      <c r="F527" s="3"/>
      <c r="G527" s="3"/>
    </row>
    <row r="528" spans="4:7">
      <c r="D528" s="3"/>
      <c r="E528" s="3"/>
      <c r="F528" s="3"/>
      <c r="G528" s="3"/>
    </row>
    <row r="529" spans="4:7">
      <c r="D529" s="3"/>
      <c r="E529" s="3"/>
      <c r="F529" s="3"/>
      <c r="G529" s="3"/>
    </row>
    <row r="530" spans="4:7">
      <c r="D530" s="3"/>
      <c r="E530" s="3"/>
      <c r="F530" s="3"/>
      <c r="G530" s="3"/>
    </row>
    <row r="531" spans="4:7">
      <c r="D531" s="3"/>
      <c r="E531" s="3"/>
      <c r="F531" s="3"/>
      <c r="G531" s="3"/>
    </row>
    <row r="532" spans="4:7">
      <c r="D532" s="3"/>
      <c r="E532" s="3"/>
      <c r="F532" s="3"/>
      <c r="G532" s="3"/>
    </row>
    <row r="533" spans="4:7">
      <c r="D533" s="3"/>
      <c r="E533" s="3"/>
      <c r="F533" s="3"/>
      <c r="G533" s="3"/>
    </row>
    <row r="534" spans="4:7">
      <c r="D534" s="3"/>
      <c r="E534" s="3"/>
      <c r="F534" s="3"/>
      <c r="G534" s="3"/>
    </row>
    <row r="535" spans="4:7">
      <c r="D535" s="3"/>
      <c r="E535" s="3"/>
      <c r="F535" s="3"/>
      <c r="G535" s="3"/>
    </row>
    <row r="536" spans="4:7">
      <c r="D536" s="3"/>
      <c r="E536" s="3"/>
      <c r="F536" s="3"/>
      <c r="G536" s="3"/>
    </row>
    <row r="537" spans="4:7">
      <c r="D537" s="3"/>
      <c r="E537" s="3"/>
      <c r="F537" s="3"/>
      <c r="G537" s="3"/>
    </row>
    <row r="538" spans="4:7">
      <c r="D538" s="3"/>
      <c r="E538" s="3"/>
      <c r="F538" s="3"/>
      <c r="G538" s="3"/>
    </row>
    <row r="539" spans="4:7">
      <c r="D539" s="3"/>
      <c r="E539" s="3"/>
      <c r="F539" s="3"/>
      <c r="G539" s="3"/>
    </row>
    <row r="540" spans="4:7">
      <c r="D540" s="3"/>
      <c r="E540" s="3"/>
      <c r="F540" s="3"/>
      <c r="G540" s="3"/>
    </row>
    <row r="541" spans="4:7">
      <c r="D541" s="3"/>
      <c r="E541" s="3"/>
      <c r="F541" s="3"/>
      <c r="G541" s="3"/>
    </row>
    <row r="542" spans="4:7">
      <c r="D542" s="3"/>
      <c r="E542" s="3"/>
      <c r="F542" s="3"/>
      <c r="G542" s="3"/>
    </row>
    <row r="543" spans="4:7">
      <c r="D543" s="3"/>
      <c r="E543" s="3"/>
      <c r="F543" s="3"/>
      <c r="G543" s="3"/>
    </row>
    <row r="544" spans="4:7">
      <c r="D544" s="3"/>
      <c r="E544" s="3"/>
      <c r="F544" s="3"/>
      <c r="G544" s="3"/>
    </row>
    <row r="545" spans="4:7">
      <c r="D545" s="3"/>
      <c r="E545" s="3"/>
      <c r="F545" s="3"/>
      <c r="G545" s="3"/>
    </row>
    <row r="546" spans="4:7">
      <c r="D546" s="3"/>
      <c r="E546" s="3"/>
      <c r="F546" s="3"/>
      <c r="G546" s="3"/>
    </row>
    <row r="547" spans="4:7">
      <c r="D547" s="3"/>
      <c r="E547" s="3"/>
      <c r="F547" s="3"/>
      <c r="G547" s="3"/>
    </row>
    <row r="548" spans="4:7">
      <c r="D548" s="3"/>
      <c r="E548" s="3"/>
      <c r="F548" s="3"/>
      <c r="G548" s="3"/>
    </row>
    <row r="549" spans="4:7">
      <c r="D549" s="3"/>
      <c r="E549" s="3"/>
      <c r="F549" s="3"/>
      <c r="G549" s="3"/>
    </row>
    <row r="550" spans="4:7">
      <c r="D550" s="3"/>
      <c r="E550" s="3"/>
      <c r="F550" s="3"/>
      <c r="G550" s="3"/>
    </row>
    <row r="551" spans="4:7">
      <c r="D551" s="3"/>
      <c r="E551" s="3"/>
      <c r="F551" s="3"/>
      <c r="G551" s="3"/>
    </row>
    <row r="552" spans="4:7">
      <c r="D552" s="3"/>
      <c r="E552" s="3"/>
      <c r="F552" s="3"/>
      <c r="G552" s="3"/>
    </row>
    <row r="553" spans="4:7">
      <c r="D553" s="3"/>
      <c r="E553" s="3"/>
      <c r="F553" s="3"/>
      <c r="G553" s="3"/>
    </row>
    <row r="554" spans="4:7">
      <c r="D554" s="3"/>
      <c r="E554" s="3"/>
      <c r="F554" s="3"/>
      <c r="G554" s="3"/>
    </row>
    <row r="555" spans="4:7">
      <c r="D555" s="3"/>
      <c r="E555" s="3"/>
      <c r="F555" s="3"/>
      <c r="G555" s="3"/>
    </row>
    <row r="556" spans="4:7">
      <c r="D556" s="3"/>
      <c r="E556" s="3"/>
      <c r="F556" s="3"/>
      <c r="G556" s="3"/>
    </row>
    <row r="557" spans="4:7">
      <c r="D557" s="3"/>
      <c r="E557" s="3"/>
      <c r="F557" s="3"/>
      <c r="G557" s="3"/>
    </row>
    <row r="558" spans="4:7">
      <c r="D558" s="3"/>
      <c r="E558" s="3"/>
      <c r="F558" s="3"/>
      <c r="G558" s="3"/>
    </row>
    <row r="559" spans="4:7">
      <c r="D559" s="3"/>
      <c r="E559" s="3"/>
      <c r="F559" s="3"/>
      <c r="G559" s="3"/>
    </row>
    <row r="560" spans="4:7">
      <c r="D560" s="3"/>
      <c r="E560" s="3"/>
      <c r="F560" s="3"/>
      <c r="G560" s="3"/>
    </row>
    <row r="561" spans="4:7">
      <c r="D561" s="3"/>
      <c r="E561" s="3"/>
      <c r="F561" s="3"/>
      <c r="G561" s="3"/>
    </row>
    <row r="562" spans="4:7">
      <c r="D562" s="3"/>
      <c r="E562" s="3"/>
      <c r="F562" s="3"/>
      <c r="G562" s="3"/>
    </row>
    <row r="563" spans="4:7">
      <c r="D563" s="3"/>
      <c r="E563" s="3"/>
      <c r="F563" s="3"/>
      <c r="G563" s="3"/>
    </row>
    <row r="564" spans="4:7">
      <c r="D564" s="3"/>
      <c r="E564" s="3"/>
      <c r="F564" s="3"/>
      <c r="G564" s="3"/>
    </row>
    <row r="565" spans="4:7">
      <c r="D565" s="3"/>
      <c r="E565" s="3"/>
      <c r="F565" s="3"/>
      <c r="G565" s="3"/>
    </row>
    <row r="566" spans="4:7">
      <c r="D566" s="3"/>
      <c r="E566" s="3"/>
      <c r="F566" s="3"/>
      <c r="G566" s="3"/>
    </row>
    <row r="567" spans="4:7">
      <c r="D567" s="3"/>
      <c r="E567" s="3"/>
      <c r="F567" s="3"/>
      <c r="G567" s="3"/>
    </row>
    <row r="568" spans="4:7">
      <c r="D568" s="3"/>
      <c r="E568" s="3"/>
      <c r="F568" s="3"/>
      <c r="G568" s="3"/>
    </row>
    <row r="569" spans="4:7">
      <c r="D569" s="3"/>
      <c r="E569" s="3"/>
      <c r="F569" s="3"/>
      <c r="G569" s="3"/>
    </row>
    <row r="570" spans="4:7">
      <c r="D570" s="3"/>
      <c r="E570" s="3"/>
      <c r="F570" s="3"/>
      <c r="G570" s="3"/>
    </row>
    <row r="571" spans="4:7">
      <c r="D571" s="3"/>
      <c r="E571" s="3"/>
      <c r="F571" s="3"/>
      <c r="G571" s="3"/>
    </row>
    <row r="572" spans="4:7">
      <c r="D572" s="3"/>
      <c r="E572" s="3"/>
      <c r="F572" s="3"/>
      <c r="G572" s="3"/>
    </row>
    <row r="573" spans="4:7">
      <c r="D573" s="3"/>
      <c r="E573" s="3"/>
      <c r="F573" s="3"/>
      <c r="G573" s="3"/>
    </row>
    <row r="574" spans="4:7">
      <c r="D574" s="3"/>
      <c r="E574" s="3"/>
      <c r="F574" s="3"/>
      <c r="G574" s="3"/>
    </row>
    <row r="575" spans="4:7">
      <c r="D575" s="3"/>
      <c r="E575" s="3"/>
      <c r="F575" s="3"/>
      <c r="G575" s="3"/>
    </row>
    <row r="576" spans="4:7">
      <c r="D576" s="3"/>
      <c r="E576" s="3"/>
      <c r="F576" s="3"/>
      <c r="G576" s="3"/>
    </row>
    <row r="577" spans="4:7">
      <c r="D577" s="3"/>
      <c r="E577" s="3"/>
      <c r="F577" s="3"/>
      <c r="G577" s="3"/>
    </row>
    <row r="578" spans="4:7">
      <c r="D578" s="3"/>
      <c r="E578" s="3"/>
      <c r="F578" s="3"/>
      <c r="G578" s="3"/>
    </row>
    <row r="579" spans="4:7">
      <c r="D579" s="3"/>
      <c r="E579" s="3"/>
      <c r="F579" s="3"/>
      <c r="G579" s="3"/>
    </row>
    <row r="580" spans="4:7">
      <c r="D580" s="3"/>
      <c r="E580" s="3"/>
      <c r="F580" s="3"/>
      <c r="G580" s="3"/>
    </row>
    <row r="581" spans="4:7">
      <c r="D581" s="3"/>
      <c r="E581" s="3"/>
      <c r="F581" s="3"/>
      <c r="G581" s="3"/>
    </row>
    <row r="582" spans="4:7">
      <c r="D582" s="3"/>
      <c r="E582" s="3"/>
      <c r="F582" s="3"/>
      <c r="G582" s="3"/>
    </row>
    <row r="583" spans="4:7">
      <c r="D583" s="3"/>
      <c r="E583" s="3"/>
      <c r="F583" s="3"/>
      <c r="G583" s="3"/>
    </row>
    <row r="584" spans="4:7">
      <c r="D584" s="3"/>
      <c r="E584" s="3"/>
      <c r="F584" s="3"/>
      <c r="G584" s="3"/>
    </row>
    <row r="585" spans="4:7">
      <c r="D585" s="3"/>
      <c r="E585" s="3"/>
      <c r="F585" s="3"/>
      <c r="G585" s="3"/>
    </row>
    <row r="586" spans="4:7">
      <c r="D586" s="3"/>
      <c r="E586" s="3"/>
      <c r="F586" s="3"/>
      <c r="G586" s="3"/>
    </row>
    <row r="587" spans="4:7">
      <c r="D587" s="3"/>
      <c r="E587" s="3"/>
      <c r="F587" s="3"/>
      <c r="G587" s="3"/>
    </row>
    <row r="588" spans="4:7">
      <c r="D588" s="3"/>
      <c r="E588" s="3"/>
      <c r="F588" s="3"/>
      <c r="G588" s="3"/>
    </row>
    <row r="589" spans="4:7">
      <c r="D589" s="3"/>
      <c r="E589" s="3"/>
      <c r="F589" s="3"/>
      <c r="G589" s="3"/>
    </row>
    <row r="590" spans="4:7">
      <c r="D590" s="3"/>
      <c r="E590" s="3"/>
      <c r="F590" s="3"/>
      <c r="G590" s="3"/>
    </row>
    <row r="591" spans="4:7">
      <c r="D591" s="3"/>
      <c r="E591" s="3"/>
      <c r="F591" s="3"/>
      <c r="G591" s="3"/>
    </row>
    <row r="592" spans="4:7">
      <c r="D592" s="3"/>
      <c r="E592" s="3"/>
      <c r="F592" s="3"/>
      <c r="G592" s="3"/>
    </row>
    <row r="593" spans="4:7">
      <c r="D593" s="3"/>
      <c r="E593" s="3"/>
      <c r="F593" s="3"/>
      <c r="G593" s="3"/>
    </row>
    <row r="594" spans="4:7">
      <c r="D594" s="3"/>
      <c r="E594" s="3"/>
      <c r="F594" s="3"/>
      <c r="G594" s="3"/>
    </row>
    <row r="595" spans="4:7">
      <c r="D595" s="3"/>
      <c r="E595" s="3"/>
      <c r="F595" s="3"/>
      <c r="G595" s="3"/>
    </row>
    <row r="596" spans="4:7">
      <c r="D596" s="3"/>
      <c r="E596" s="3"/>
      <c r="F596" s="3"/>
      <c r="G596" s="3"/>
    </row>
    <row r="597" spans="4:7">
      <c r="D597" s="3"/>
      <c r="E597" s="3"/>
      <c r="F597" s="3"/>
      <c r="G597" s="3"/>
    </row>
    <row r="598" spans="4:7">
      <c r="D598" s="3"/>
      <c r="E598" s="3"/>
      <c r="F598" s="3"/>
      <c r="G598" s="3"/>
    </row>
    <row r="599" spans="4:7">
      <c r="D599" s="3"/>
      <c r="E599" s="3"/>
      <c r="F599" s="3"/>
      <c r="G599" s="3"/>
    </row>
    <row r="600" spans="4:7">
      <c r="D600" s="3"/>
      <c r="E600" s="3"/>
      <c r="F600" s="3"/>
      <c r="G600" s="3"/>
    </row>
    <row r="601" spans="4:7">
      <c r="D601" s="3"/>
      <c r="E601" s="3"/>
      <c r="F601" s="3"/>
      <c r="G601" s="3"/>
    </row>
    <row r="602" spans="4:7">
      <c r="D602" s="3"/>
      <c r="E602" s="3"/>
      <c r="F602" s="3"/>
      <c r="G602" s="3"/>
    </row>
    <row r="603" spans="4:7">
      <c r="D603" s="3"/>
      <c r="E603" s="3"/>
      <c r="F603" s="3"/>
      <c r="G603" s="3"/>
    </row>
    <row r="604" spans="4:7">
      <c r="D604" s="3"/>
      <c r="E604" s="3"/>
      <c r="F604" s="3"/>
      <c r="G604" s="3"/>
    </row>
    <row r="605" spans="4:7">
      <c r="D605" s="3"/>
      <c r="E605" s="3"/>
      <c r="F605" s="3"/>
      <c r="G605" s="3"/>
    </row>
    <row r="606" spans="4:7">
      <c r="D606" s="3"/>
      <c r="E606" s="3"/>
      <c r="F606" s="3"/>
      <c r="G606" s="3"/>
    </row>
    <row r="607" spans="4:7">
      <c r="D607" s="3"/>
      <c r="E607" s="3"/>
      <c r="F607" s="3"/>
      <c r="G607" s="3"/>
    </row>
    <row r="608" spans="4:7">
      <c r="D608" s="3"/>
      <c r="E608" s="3"/>
      <c r="F608" s="3"/>
      <c r="G608" s="3"/>
    </row>
    <row r="609" spans="4:7">
      <c r="D609" s="3"/>
      <c r="E609" s="3"/>
      <c r="F609" s="3"/>
      <c r="G609" s="3"/>
    </row>
    <row r="610" spans="4:7">
      <c r="D610" s="3"/>
      <c r="E610" s="3"/>
      <c r="F610" s="3"/>
      <c r="G610" s="3"/>
    </row>
    <row r="611" spans="4:7">
      <c r="D611" s="3"/>
      <c r="E611" s="3"/>
      <c r="F611" s="3"/>
      <c r="G611" s="3"/>
    </row>
    <row r="612" spans="4:7">
      <c r="D612" s="3"/>
      <c r="E612" s="3"/>
      <c r="F612" s="3"/>
      <c r="G612" s="3"/>
    </row>
    <row r="613" spans="4:7">
      <c r="D613" s="3"/>
      <c r="E613" s="3"/>
      <c r="F613" s="3"/>
      <c r="G613" s="3"/>
    </row>
    <row r="614" spans="4:7">
      <c r="D614" s="3"/>
      <c r="E614" s="3"/>
      <c r="F614" s="3"/>
      <c r="G614" s="3"/>
    </row>
    <row r="615" spans="4:7">
      <c r="D615" s="3"/>
      <c r="E615" s="3"/>
      <c r="F615" s="3"/>
      <c r="G615" s="3"/>
    </row>
    <row r="616" spans="4:7">
      <c r="D616" s="3"/>
      <c r="E616" s="3"/>
      <c r="F616" s="3"/>
      <c r="G616" s="3"/>
    </row>
    <row r="617" spans="4:7">
      <c r="D617" s="3"/>
      <c r="E617" s="3"/>
      <c r="F617" s="3"/>
      <c r="G617" s="3"/>
    </row>
    <row r="618" spans="4:7">
      <c r="D618" s="3"/>
      <c r="E618" s="3"/>
      <c r="F618" s="3"/>
      <c r="G618" s="3"/>
    </row>
    <row r="619" spans="4:7">
      <c r="D619" s="3"/>
      <c r="E619" s="3"/>
      <c r="F619" s="3"/>
      <c r="G619" s="3"/>
    </row>
    <row r="620" spans="4:7">
      <c r="D620" s="3"/>
      <c r="E620" s="3"/>
      <c r="F620" s="3"/>
      <c r="G620" s="3"/>
    </row>
    <row r="621" spans="4:7">
      <c r="D621" s="3"/>
      <c r="E621" s="3"/>
      <c r="F621" s="3"/>
      <c r="G621" s="3"/>
    </row>
    <row r="622" spans="4:7">
      <c r="D622" s="3"/>
      <c r="E622" s="3"/>
      <c r="F622" s="3"/>
      <c r="G622" s="3"/>
    </row>
    <row r="623" spans="4:7">
      <c r="D623" s="3"/>
      <c r="E623" s="3"/>
      <c r="F623" s="3"/>
      <c r="G623" s="3"/>
    </row>
    <row r="624" spans="4:7">
      <c r="D624" s="3"/>
      <c r="E624" s="3"/>
      <c r="F624" s="3"/>
      <c r="G624" s="3"/>
    </row>
    <row r="625" spans="4:7">
      <c r="D625" s="3"/>
      <c r="E625" s="3"/>
      <c r="F625" s="3"/>
      <c r="G625" s="3"/>
    </row>
    <row r="626" spans="4:7">
      <c r="D626" s="3"/>
      <c r="E626" s="3"/>
      <c r="F626" s="3"/>
      <c r="G626" s="3"/>
    </row>
    <row r="627" spans="4:7">
      <c r="D627" s="3"/>
      <c r="E627" s="3"/>
      <c r="F627" s="3"/>
      <c r="G627" s="3"/>
    </row>
    <row r="628" spans="4:7">
      <c r="D628" s="3"/>
      <c r="E628" s="3"/>
      <c r="F628" s="3"/>
      <c r="G628" s="3"/>
    </row>
    <row r="629" spans="4:7">
      <c r="D629" s="3"/>
      <c r="E629" s="3"/>
      <c r="F629" s="3"/>
      <c r="G629" s="3"/>
    </row>
    <row r="630" spans="4:7">
      <c r="D630" s="3"/>
      <c r="E630" s="3"/>
      <c r="F630" s="3"/>
      <c r="G630" s="3"/>
    </row>
    <row r="631" spans="4:7">
      <c r="D631" s="3"/>
      <c r="E631" s="3"/>
      <c r="F631" s="3"/>
      <c r="G631" s="3"/>
    </row>
    <row r="632" spans="4:7">
      <c r="D632" s="3"/>
      <c r="E632" s="3"/>
      <c r="F632" s="3"/>
      <c r="G632" s="3"/>
    </row>
    <row r="633" spans="4:7">
      <c r="D633" s="3"/>
      <c r="E633" s="3"/>
      <c r="F633" s="3"/>
      <c r="G633" s="3"/>
    </row>
    <row r="634" spans="4:7">
      <c r="D634" s="3"/>
      <c r="E634" s="3"/>
      <c r="F634" s="3"/>
      <c r="G634" s="3"/>
    </row>
    <row r="635" spans="4:7">
      <c r="D635" s="3"/>
      <c r="E635" s="3"/>
      <c r="F635" s="3"/>
      <c r="G635" s="3"/>
    </row>
    <row r="636" spans="4:7">
      <c r="D636" s="3"/>
      <c r="E636" s="3"/>
      <c r="F636" s="3"/>
      <c r="G636" s="3"/>
    </row>
    <row r="637" spans="4:7">
      <c r="D637" s="3"/>
      <c r="E637" s="3"/>
      <c r="F637" s="3"/>
      <c r="G637" s="3"/>
    </row>
    <row r="638" spans="4:7">
      <c r="D638" s="3"/>
      <c r="E638" s="3"/>
      <c r="F638" s="3"/>
      <c r="G638" s="3"/>
    </row>
    <row r="639" spans="4:7">
      <c r="D639" s="3"/>
      <c r="E639" s="3"/>
      <c r="F639" s="3"/>
      <c r="G639" s="3"/>
    </row>
    <row r="640" spans="4:7">
      <c r="D640" s="3"/>
      <c r="E640" s="3"/>
      <c r="F640" s="3"/>
      <c r="G640" s="3"/>
    </row>
    <row r="641" spans="4:7">
      <c r="D641" s="3"/>
      <c r="E641" s="3"/>
      <c r="F641" s="3"/>
      <c r="G641" s="3"/>
    </row>
    <row r="642" spans="4:7">
      <c r="D642" s="3"/>
      <c r="E642" s="3"/>
      <c r="F642" s="3"/>
      <c r="G642" s="3"/>
    </row>
    <row r="643" spans="4:7">
      <c r="D643" s="3"/>
      <c r="E643" s="3"/>
      <c r="F643" s="3"/>
      <c r="G643" s="3"/>
    </row>
    <row r="644" spans="4:7">
      <c r="D644" s="3"/>
      <c r="E644" s="3"/>
      <c r="F644" s="3"/>
      <c r="G644" s="3"/>
    </row>
    <row r="645" spans="4:7">
      <c r="D645" s="3"/>
      <c r="E645" s="3"/>
      <c r="F645" s="3"/>
      <c r="G645" s="3"/>
    </row>
    <row r="646" spans="4:7">
      <c r="D646" s="3"/>
      <c r="E646" s="3"/>
      <c r="F646" s="3"/>
      <c r="G646" s="3"/>
    </row>
    <row r="647" spans="4:7">
      <c r="D647" s="3"/>
      <c r="E647" s="3"/>
      <c r="F647" s="3"/>
      <c r="G647" s="3"/>
    </row>
    <row r="648" spans="4:7">
      <c r="D648" s="3"/>
      <c r="E648" s="3"/>
      <c r="F648" s="3"/>
      <c r="G648" s="3"/>
    </row>
    <row r="649" spans="4:7">
      <c r="D649" s="3"/>
      <c r="E649" s="3"/>
      <c r="F649" s="3"/>
      <c r="G649" s="3"/>
    </row>
    <row r="650" spans="4:7">
      <c r="D650" s="3"/>
      <c r="E650" s="3"/>
      <c r="F650" s="3"/>
      <c r="G650" s="3"/>
    </row>
    <row r="651" spans="4:7">
      <c r="D651" s="3"/>
      <c r="E651" s="3"/>
      <c r="F651" s="3"/>
      <c r="G651" s="3"/>
    </row>
    <row r="652" spans="4:7">
      <c r="D652" s="3"/>
      <c r="E652" s="3"/>
      <c r="F652" s="3"/>
      <c r="G652" s="3"/>
    </row>
    <row r="653" spans="4:7">
      <c r="D653" s="3"/>
      <c r="E653" s="3"/>
      <c r="F653" s="3"/>
      <c r="G653" s="3"/>
    </row>
    <row r="654" spans="4:7">
      <c r="D654" s="3"/>
      <c r="E654" s="3"/>
      <c r="F654" s="3"/>
      <c r="G654" s="3"/>
    </row>
    <row r="655" spans="4:7">
      <c r="D655" s="3"/>
      <c r="E655" s="3"/>
      <c r="F655" s="3"/>
      <c r="G655" s="3"/>
    </row>
    <row r="656" spans="4:7">
      <c r="D656" s="3"/>
      <c r="E656" s="3"/>
      <c r="F656" s="3"/>
      <c r="G656" s="3"/>
    </row>
    <row r="657" spans="4:7">
      <c r="D657" s="3"/>
      <c r="E657" s="3"/>
      <c r="F657" s="3"/>
      <c r="G657" s="3"/>
    </row>
    <row r="658" spans="4:7">
      <c r="D658" s="3"/>
      <c r="E658" s="3"/>
      <c r="F658" s="3"/>
      <c r="G658" s="3"/>
    </row>
    <row r="659" spans="4:7">
      <c r="D659" s="3"/>
      <c r="E659" s="3"/>
      <c r="F659" s="3"/>
      <c r="G659" s="3"/>
    </row>
    <row r="660" spans="4:7">
      <c r="D660" s="3"/>
      <c r="E660" s="3"/>
      <c r="F660" s="3"/>
      <c r="G660" s="3"/>
    </row>
    <row r="661" spans="4:7">
      <c r="D661" s="3"/>
      <c r="E661" s="3"/>
      <c r="F661" s="3"/>
      <c r="G661" s="3"/>
    </row>
    <row r="662" spans="4:7">
      <c r="D662" s="3"/>
      <c r="E662" s="3"/>
      <c r="F662" s="3"/>
      <c r="G662" s="3"/>
    </row>
    <row r="663" spans="4:7">
      <c r="D663" s="3"/>
      <c r="E663" s="3"/>
      <c r="F663" s="3"/>
      <c r="G663" s="3"/>
    </row>
    <row r="664" spans="4:7">
      <c r="D664" s="3"/>
      <c r="E664" s="3"/>
      <c r="F664" s="3"/>
      <c r="G664" s="3"/>
    </row>
    <row r="665" spans="4:7">
      <c r="D665" s="3"/>
      <c r="E665" s="3"/>
      <c r="F665" s="3"/>
      <c r="G665" s="3"/>
    </row>
    <row r="666" spans="4:7">
      <c r="D666" s="3"/>
      <c r="E666" s="3"/>
      <c r="F666" s="3"/>
      <c r="G666" s="3"/>
    </row>
    <row r="667" spans="4:7">
      <c r="D667" s="3"/>
      <c r="E667" s="3"/>
      <c r="F667" s="3"/>
      <c r="G667" s="3"/>
    </row>
    <row r="668" spans="4:7">
      <c r="D668" s="3"/>
      <c r="E668" s="3"/>
      <c r="F668" s="3"/>
      <c r="G668" s="3"/>
    </row>
    <row r="669" spans="4:7">
      <c r="D669" s="3"/>
      <c r="E669" s="3"/>
      <c r="F669" s="3"/>
      <c r="G669" s="3"/>
    </row>
    <row r="670" spans="4:7">
      <c r="D670" s="3"/>
      <c r="E670" s="3"/>
      <c r="F670" s="3"/>
      <c r="G670" s="3"/>
    </row>
    <row r="671" spans="4:7">
      <c r="D671" s="3"/>
      <c r="E671" s="3"/>
      <c r="F671" s="3"/>
      <c r="G671" s="3"/>
    </row>
    <row r="672" spans="4:7">
      <c r="D672" s="3"/>
      <c r="E672" s="3"/>
      <c r="F672" s="3"/>
      <c r="G672" s="3"/>
    </row>
    <row r="673" spans="4:7">
      <c r="D673" s="3"/>
      <c r="E673" s="3"/>
      <c r="F673" s="3"/>
      <c r="G673" s="3"/>
    </row>
    <row r="674" spans="4:7">
      <c r="D674" s="3"/>
      <c r="E674" s="3"/>
      <c r="F674" s="3"/>
      <c r="G674" s="3"/>
    </row>
    <row r="675" spans="4:7">
      <c r="D675" s="3"/>
      <c r="E675" s="3"/>
      <c r="F675" s="3"/>
      <c r="G675" s="3"/>
    </row>
    <row r="676" spans="4:7">
      <c r="D676" s="3"/>
      <c r="E676" s="3"/>
      <c r="F676" s="3"/>
      <c r="G676" s="3"/>
    </row>
    <row r="677" spans="4:7">
      <c r="D677" s="3"/>
      <c r="E677" s="3"/>
      <c r="F677" s="3"/>
      <c r="G677" s="3"/>
    </row>
    <row r="678" spans="4:7">
      <c r="D678" s="3"/>
      <c r="E678" s="3"/>
      <c r="F678" s="3"/>
      <c r="G678" s="3"/>
    </row>
    <row r="679" spans="4:7">
      <c r="D679" s="3"/>
      <c r="E679" s="3"/>
      <c r="F679" s="3"/>
      <c r="G679" s="3"/>
    </row>
    <row r="680" spans="4:7">
      <c r="D680" s="3"/>
      <c r="E680" s="3"/>
      <c r="F680" s="3"/>
      <c r="G680" s="3"/>
    </row>
    <row r="681" spans="4:7">
      <c r="D681" s="3"/>
      <c r="E681" s="3"/>
      <c r="F681" s="3"/>
      <c r="G681" s="3"/>
    </row>
    <row r="682" spans="4:7">
      <c r="D682" s="3"/>
      <c r="E682" s="3"/>
      <c r="F682" s="3"/>
      <c r="G682" s="3"/>
    </row>
    <row r="683" spans="4:7">
      <c r="D683" s="3"/>
      <c r="E683" s="3"/>
      <c r="F683" s="3"/>
      <c r="G683" s="3"/>
    </row>
    <row r="684" spans="4:7">
      <c r="D684" s="3"/>
      <c r="E684" s="3"/>
      <c r="F684" s="3"/>
      <c r="G684" s="3"/>
    </row>
    <row r="685" spans="4:7">
      <c r="D685" s="3"/>
      <c r="E685" s="3"/>
      <c r="F685" s="3"/>
      <c r="G685" s="3"/>
    </row>
    <row r="686" spans="4:7">
      <c r="D686" s="3"/>
      <c r="E686" s="3"/>
      <c r="F686" s="3"/>
      <c r="G686" s="3"/>
    </row>
    <row r="687" spans="4:7">
      <c r="D687" s="3"/>
      <c r="E687" s="3"/>
      <c r="F687" s="3"/>
      <c r="G687" s="3"/>
    </row>
    <row r="688" spans="4:7">
      <c r="D688" s="3"/>
      <c r="E688" s="3"/>
      <c r="F688" s="3"/>
      <c r="G688" s="3"/>
    </row>
    <row r="689" spans="4:7">
      <c r="D689" s="3"/>
      <c r="E689" s="3"/>
      <c r="F689" s="3"/>
      <c r="G689" s="3"/>
    </row>
    <row r="690" spans="4:7">
      <c r="D690" s="3"/>
      <c r="E690" s="3"/>
      <c r="F690" s="3"/>
      <c r="G690" s="3"/>
    </row>
    <row r="691" spans="4:7">
      <c r="D691" s="3"/>
      <c r="E691" s="3"/>
      <c r="F691" s="3"/>
      <c r="G691" s="3"/>
    </row>
    <row r="692" spans="4:7">
      <c r="D692" s="3"/>
      <c r="E692" s="3"/>
      <c r="F692" s="3"/>
      <c r="G692" s="3"/>
    </row>
    <row r="693" spans="4:7">
      <c r="D693" s="3"/>
      <c r="E693" s="3"/>
      <c r="F693" s="3"/>
      <c r="G693" s="3"/>
    </row>
    <row r="694" spans="4:7">
      <c r="D694" s="3"/>
      <c r="E694" s="3"/>
      <c r="F694" s="3"/>
      <c r="G694" s="3"/>
    </row>
    <row r="695" spans="4:7">
      <c r="D695" s="3"/>
      <c r="E695" s="3"/>
      <c r="F695" s="3"/>
      <c r="G695" s="3"/>
    </row>
    <row r="696" spans="4:7">
      <c r="D696" s="3"/>
      <c r="E696" s="3"/>
      <c r="F696" s="3"/>
      <c r="G696" s="3"/>
    </row>
    <row r="697" spans="4:7">
      <c r="D697" s="3"/>
      <c r="E697" s="3"/>
      <c r="F697" s="3"/>
      <c r="G697" s="3"/>
    </row>
    <row r="698" spans="4:7">
      <c r="D698" s="3"/>
      <c r="E698" s="3"/>
      <c r="F698" s="3"/>
      <c r="G698" s="3"/>
    </row>
    <row r="699" spans="4:7">
      <c r="D699" s="3"/>
      <c r="E699" s="3"/>
      <c r="F699" s="3"/>
      <c r="G699" s="3"/>
    </row>
    <row r="700" spans="4:7">
      <c r="D700" s="3"/>
      <c r="E700" s="3"/>
      <c r="F700" s="3"/>
      <c r="G700" s="3"/>
    </row>
    <row r="701" spans="4:7">
      <c r="D701" s="3"/>
      <c r="E701" s="3"/>
      <c r="F701" s="3"/>
      <c r="G701" s="3"/>
    </row>
    <row r="702" spans="4:7">
      <c r="D702" s="3"/>
      <c r="E702" s="3"/>
      <c r="F702" s="3"/>
      <c r="G702" s="3"/>
    </row>
    <row r="703" spans="4:7">
      <c r="D703" s="3"/>
      <c r="E703" s="3"/>
      <c r="F703" s="3"/>
      <c r="G703" s="3"/>
    </row>
    <row r="704" spans="4:7">
      <c r="D704" s="3"/>
      <c r="E704" s="3"/>
      <c r="F704" s="3"/>
      <c r="G704" s="3"/>
    </row>
    <row r="705" spans="4:7">
      <c r="D705" s="3"/>
      <c r="E705" s="3"/>
      <c r="F705" s="3"/>
      <c r="G705" s="3"/>
    </row>
    <row r="706" spans="4:7">
      <c r="D706" s="3"/>
      <c r="E706" s="3"/>
      <c r="F706" s="3"/>
      <c r="G706" s="3"/>
    </row>
    <row r="707" spans="4:7">
      <c r="D707" s="3"/>
      <c r="E707" s="3"/>
      <c r="F707" s="3"/>
      <c r="G707" s="3"/>
    </row>
    <row r="708" spans="4:7">
      <c r="D708" s="3"/>
      <c r="E708" s="3"/>
      <c r="F708" s="3"/>
      <c r="G708" s="3"/>
    </row>
    <row r="709" spans="4:7">
      <c r="D709" s="3"/>
      <c r="E709" s="3"/>
      <c r="F709" s="3"/>
      <c r="G709" s="3"/>
    </row>
    <row r="710" spans="4:7">
      <c r="D710" s="3"/>
      <c r="E710" s="3"/>
      <c r="F710" s="3"/>
      <c r="G710" s="3"/>
    </row>
    <row r="711" spans="4:7">
      <c r="D711" s="3"/>
      <c r="E711" s="3"/>
      <c r="F711" s="3"/>
      <c r="G711" s="3"/>
    </row>
    <row r="712" spans="4:7">
      <c r="D712" s="3"/>
      <c r="E712" s="3"/>
      <c r="F712" s="3"/>
      <c r="G712" s="3"/>
    </row>
    <row r="713" spans="4:7">
      <c r="D713" s="3"/>
      <c r="E713" s="3"/>
      <c r="F713" s="3"/>
      <c r="G713" s="3"/>
    </row>
    <row r="714" spans="4:7">
      <c r="D714" s="3"/>
      <c r="E714" s="3"/>
      <c r="F714" s="3"/>
      <c r="G714" s="3"/>
    </row>
    <row r="715" spans="4:7">
      <c r="D715" s="3"/>
      <c r="E715" s="3"/>
      <c r="F715" s="3"/>
      <c r="G715" s="3"/>
    </row>
    <row r="716" spans="4:7">
      <c r="D716" s="3"/>
      <c r="E716" s="3"/>
      <c r="F716" s="3"/>
      <c r="G716" s="3"/>
    </row>
    <row r="717" spans="4:7">
      <c r="D717" s="3"/>
      <c r="E717" s="3"/>
      <c r="F717" s="3"/>
      <c r="G717" s="3"/>
    </row>
    <row r="718" spans="4:7">
      <c r="D718" s="3"/>
      <c r="E718" s="3"/>
      <c r="F718" s="3"/>
      <c r="G718" s="3"/>
    </row>
    <row r="719" spans="4:7">
      <c r="D719" s="3"/>
      <c r="E719" s="3"/>
      <c r="F719" s="3"/>
      <c r="G719" s="3"/>
    </row>
    <row r="720" spans="4:7">
      <c r="D720" s="3"/>
      <c r="E720" s="3"/>
      <c r="F720" s="3"/>
      <c r="G720" s="3"/>
    </row>
    <row r="721" spans="4:7">
      <c r="D721" s="3"/>
      <c r="E721" s="3"/>
      <c r="F721" s="3"/>
      <c r="G721" s="3"/>
    </row>
    <row r="722" spans="4:7">
      <c r="D722" s="3"/>
      <c r="E722" s="3"/>
      <c r="F722" s="3"/>
      <c r="G722" s="3"/>
    </row>
    <row r="723" spans="4:7">
      <c r="D723" s="3"/>
      <c r="E723" s="3"/>
      <c r="F723" s="3"/>
      <c r="G723" s="3"/>
    </row>
    <row r="724" spans="4:7">
      <c r="D724" s="3"/>
      <c r="E724" s="3"/>
      <c r="F724" s="3"/>
      <c r="G724" s="3"/>
    </row>
    <row r="725" spans="4:7">
      <c r="D725" s="3"/>
      <c r="E725" s="3"/>
      <c r="F725" s="3"/>
      <c r="G725" s="3"/>
    </row>
    <row r="726" spans="4:7">
      <c r="D726" s="3"/>
      <c r="E726" s="3"/>
      <c r="F726" s="3"/>
      <c r="G726" s="3"/>
    </row>
    <row r="727" spans="4:7">
      <c r="D727" s="3"/>
      <c r="E727" s="3"/>
      <c r="F727" s="3"/>
      <c r="G727" s="3"/>
    </row>
    <row r="728" spans="4:7">
      <c r="D728" s="3"/>
      <c r="E728" s="3"/>
      <c r="F728" s="3"/>
      <c r="G728" s="3"/>
    </row>
    <row r="729" spans="4:7">
      <c r="D729" s="3"/>
      <c r="E729" s="3"/>
      <c r="F729" s="3"/>
      <c r="G729" s="3"/>
    </row>
    <row r="730" spans="4:7">
      <c r="D730" s="3"/>
      <c r="E730" s="3"/>
      <c r="F730" s="3"/>
      <c r="G730" s="3"/>
    </row>
    <row r="731" spans="4:7">
      <c r="D731" s="3"/>
      <c r="E731" s="3"/>
      <c r="F731" s="3"/>
      <c r="G731" s="3"/>
    </row>
    <row r="732" spans="4:7">
      <c r="D732" s="3"/>
      <c r="E732" s="3"/>
      <c r="F732" s="3"/>
      <c r="G732" s="3"/>
    </row>
    <row r="733" spans="4:7">
      <c r="D733" s="3"/>
      <c r="E733" s="3"/>
      <c r="F733" s="3"/>
      <c r="G733" s="3"/>
    </row>
    <row r="734" spans="4:7">
      <c r="D734" s="3"/>
      <c r="E734" s="3"/>
      <c r="F734" s="3"/>
      <c r="G734" s="3"/>
    </row>
    <row r="735" spans="4:7">
      <c r="D735" s="3"/>
      <c r="E735" s="3"/>
      <c r="F735" s="3"/>
      <c r="G735" s="3"/>
    </row>
    <row r="736" spans="4:7">
      <c r="D736" s="3"/>
      <c r="E736" s="3"/>
      <c r="F736" s="3"/>
      <c r="G736" s="3"/>
    </row>
    <row r="737" spans="4:7">
      <c r="D737" s="3"/>
      <c r="E737" s="3"/>
      <c r="F737" s="3"/>
      <c r="G737" s="3"/>
    </row>
    <row r="738" spans="4:7">
      <c r="D738" s="3"/>
      <c r="E738" s="3"/>
      <c r="F738" s="3"/>
      <c r="G738" s="3"/>
    </row>
    <row r="739" spans="4:7">
      <c r="D739" s="3"/>
      <c r="E739" s="3"/>
      <c r="F739" s="3"/>
      <c r="G739" s="3"/>
    </row>
    <row r="740" spans="4:7">
      <c r="D740" s="3"/>
      <c r="E740" s="3"/>
      <c r="F740" s="3"/>
      <c r="G740" s="3"/>
    </row>
    <row r="741" spans="4:7">
      <c r="D741" s="3"/>
      <c r="E741" s="3"/>
      <c r="F741" s="3"/>
      <c r="G741" s="3"/>
    </row>
    <row r="742" spans="4:7">
      <c r="D742" s="3"/>
      <c r="E742" s="3"/>
      <c r="F742" s="3"/>
      <c r="G742" s="3"/>
    </row>
    <row r="743" spans="4:7">
      <c r="D743" s="3"/>
      <c r="E743" s="3"/>
      <c r="F743" s="3"/>
      <c r="G743" s="3"/>
    </row>
    <row r="744" spans="4:7">
      <c r="D744" s="3"/>
      <c r="E744" s="3"/>
      <c r="F744" s="3"/>
      <c r="G744" s="3"/>
    </row>
    <row r="745" spans="4:7">
      <c r="D745" s="3"/>
      <c r="E745" s="3"/>
      <c r="F745" s="3"/>
      <c r="G745" s="3"/>
    </row>
    <row r="746" spans="4:7">
      <c r="D746" s="3"/>
      <c r="E746" s="3"/>
      <c r="F746" s="3"/>
      <c r="G746" s="3"/>
    </row>
    <row r="747" spans="4:7">
      <c r="D747" s="3"/>
      <c r="E747" s="3"/>
      <c r="F747" s="3"/>
      <c r="G747" s="3"/>
    </row>
    <row r="748" spans="4:7">
      <c r="D748" s="3"/>
      <c r="E748" s="3"/>
      <c r="F748" s="3"/>
      <c r="G748" s="3"/>
    </row>
    <row r="749" spans="4:7">
      <c r="D749" s="3"/>
      <c r="E749" s="3"/>
      <c r="F749" s="3"/>
      <c r="G749" s="3"/>
    </row>
    <row r="750" spans="4:7">
      <c r="D750" s="3"/>
      <c r="E750" s="3"/>
      <c r="F750" s="3"/>
      <c r="G750" s="3"/>
    </row>
    <row r="751" spans="4:7">
      <c r="D751" s="3"/>
      <c r="E751" s="3"/>
      <c r="F751" s="3"/>
      <c r="G751" s="3"/>
    </row>
    <row r="752" spans="4:7">
      <c r="D752" s="3"/>
      <c r="E752" s="3"/>
      <c r="F752" s="3"/>
      <c r="G752" s="3"/>
    </row>
    <row r="753" spans="4:7">
      <c r="D753" s="3"/>
      <c r="E753" s="3"/>
      <c r="F753" s="3"/>
      <c r="G753" s="3"/>
    </row>
    <row r="754" spans="4:7">
      <c r="D754" s="3"/>
      <c r="E754" s="3"/>
      <c r="F754" s="3"/>
      <c r="G754" s="3"/>
    </row>
    <row r="755" spans="4:7">
      <c r="D755" s="3"/>
      <c r="E755" s="3"/>
      <c r="F755" s="3"/>
      <c r="G755" s="3"/>
    </row>
    <row r="756" spans="4:7">
      <c r="D756" s="3"/>
      <c r="E756" s="3"/>
      <c r="F756" s="3"/>
      <c r="G756" s="3"/>
    </row>
    <row r="757" spans="4:7">
      <c r="D757" s="3"/>
      <c r="E757" s="3"/>
      <c r="F757" s="3"/>
      <c r="G757" s="3"/>
    </row>
    <row r="758" spans="4:7">
      <c r="D758" s="3"/>
      <c r="E758" s="3"/>
      <c r="F758" s="3"/>
      <c r="G758" s="3"/>
    </row>
    <row r="759" spans="4:7">
      <c r="D759" s="3"/>
      <c r="E759" s="3"/>
      <c r="F759" s="3"/>
      <c r="G759" s="3"/>
    </row>
    <row r="760" spans="4:7">
      <c r="D760" s="3"/>
      <c r="E760" s="3"/>
      <c r="F760" s="3"/>
      <c r="G760" s="3"/>
    </row>
    <row r="761" spans="4:7">
      <c r="D761" s="3"/>
      <c r="E761" s="3"/>
      <c r="F761" s="3"/>
      <c r="G761" s="3"/>
    </row>
    <row r="762" spans="4:7">
      <c r="D762" s="3"/>
      <c r="E762" s="3"/>
      <c r="F762" s="3"/>
      <c r="G762" s="3"/>
    </row>
    <row r="763" spans="4:7">
      <c r="D763" s="3"/>
      <c r="E763" s="3"/>
      <c r="F763" s="3"/>
      <c r="G763" s="3"/>
    </row>
    <row r="764" spans="4:7">
      <c r="D764" s="3"/>
      <c r="E764" s="3"/>
      <c r="F764" s="3"/>
      <c r="G764" s="3"/>
    </row>
    <row r="765" spans="4:7">
      <c r="D765" s="3"/>
      <c r="E765" s="3"/>
      <c r="F765" s="3"/>
      <c r="G765" s="3"/>
    </row>
    <row r="766" spans="4:7">
      <c r="D766" s="3"/>
      <c r="E766" s="3"/>
      <c r="F766" s="3"/>
      <c r="G766" s="3"/>
    </row>
    <row r="767" spans="4:7">
      <c r="D767" s="3"/>
      <c r="E767" s="3"/>
      <c r="F767" s="3"/>
      <c r="G767" s="3"/>
    </row>
    <row r="768" spans="4:7">
      <c r="D768" s="3"/>
      <c r="E768" s="3"/>
      <c r="F768" s="3"/>
      <c r="G768" s="3"/>
    </row>
    <row r="769" spans="4:7">
      <c r="D769" s="3"/>
      <c r="E769" s="3"/>
      <c r="F769" s="3"/>
      <c r="G769" s="3"/>
    </row>
    <row r="770" spans="4:7">
      <c r="D770" s="3"/>
      <c r="E770" s="3"/>
      <c r="F770" s="3"/>
      <c r="G770" s="3"/>
    </row>
    <row r="771" spans="4:7">
      <c r="D771" s="3"/>
      <c r="E771" s="3"/>
      <c r="F771" s="3"/>
      <c r="G771" s="3"/>
    </row>
    <row r="772" spans="4:7">
      <c r="D772" s="3"/>
      <c r="E772" s="3"/>
      <c r="F772" s="3"/>
      <c r="G772" s="3"/>
    </row>
    <row r="773" spans="4:7">
      <c r="D773" s="3"/>
      <c r="E773" s="3"/>
      <c r="F773" s="3"/>
      <c r="G773" s="3"/>
    </row>
    <row r="774" spans="4:7">
      <c r="D774" s="3"/>
      <c r="E774" s="3"/>
      <c r="F774" s="3"/>
      <c r="G774" s="3"/>
    </row>
    <row r="775" spans="4:7">
      <c r="D775" s="3"/>
      <c r="E775" s="3"/>
      <c r="F775" s="3"/>
      <c r="G775" s="3"/>
    </row>
    <row r="776" spans="4:7">
      <c r="D776" s="3"/>
      <c r="E776" s="3"/>
      <c r="F776" s="3"/>
      <c r="G776" s="3"/>
    </row>
    <row r="777" spans="4:7">
      <c r="D777" s="3"/>
      <c r="E777" s="3"/>
      <c r="F777" s="3"/>
      <c r="G777" s="3"/>
    </row>
    <row r="778" spans="4:7">
      <c r="D778" s="3"/>
      <c r="E778" s="3"/>
      <c r="F778" s="3"/>
      <c r="G778" s="3"/>
    </row>
    <row r="779" spans="4:7">
      <c r="D779" s="3"/>
      <c r="E779" s="3"/>
      <c r="F779" s="3"/>
      <c r="G779" s="3"/>
    </row>
    <row r="780" spans="4:7">
      <c r="D780" s="3"/>
      <c r="E780" s="3"/>
      <c r="F780" s="3"/>
      <c r="G780" s="3"/>
    </row>
    <row r="781" spans="4:7">
      <c r="D781" s="3"/>
      <c r="E781" s="3"/>
      <c r="F781" s="3"/>
      <c r="G781" s="3"/>
    </row>
    <row r="782" spans="4:7">
      <c r="D782" s="3"/>
      <c r="E782" s="3"/>
      <c r="F782" s="3"/>
      <c r="G782" s="3"/>
    </row>
    <row r="783" spans="4:7">
      <c r="D783" s="3"/>
      <c r="E783" s="3"/>
      <c r="F783" s="3"/>
      <c r="G783" s="3"/>
    </row>
    <row r="784" spans="4:7">
      <c r="D784" s="3"/>
      <c r="E784" s="3"/>
      <c r="F784" s="3"/>
      <c r="G784" s="3"/>
    </row>
    <row r="785" spans="4:7">
      <c r="D785" s="3"/>
      <c r="E785" s="3"/>
      <c r="F785" s="3"/>
      <c r="G785" s="3"/>
    </row>
    <row r="786" spans="4:7">
      <c r="D786" s="3"/>
      <c r="E786" s="3"/>
      <c r="F786" s="3"/>
      <c r="G786" s="3"/>
    </row>
    <row r="787" spans="4:7">
      <c r="D787" s="3"/>
      <c r="E787" s="3"/>
      <c r="F787" s="3"/>
      <c r="G787" s="3"/>
    </row>
    <row r="788" spans="4:7">
      <c r="D788" s="3"/>
      <c r="E788" s="3"/>
      <c r="F788" s="3"/>
      <c r="G788" s="3"/>
    </row>
    <row r="789" spans="4:7">
      <c r="D789" s="3"/>
      <c r="E789" s="3"/>
      <c r="F789" s="3"/>
      <c r="G789" s="3"/>
    </row>
    <row r="790" spans="4:7">
      <c r="D790" s="3"/>
      <c r="E790" s="3"/>
      <c r="F790" s="3"/>
      <c r="G790" s="3"/>
    </row>
    <row r="791" spans="4:7">
      <c r="D791" s="3"/>
      <c r="E791" s="3"/>
      <c r="F791" s="3"/>
      <c r="G791" s="3"/>
    </row>
    <row r="792" spans="4:7">
      <c r="D792" s="3"/>
      <c r="E792" s="3"/>
      <c r="F792" s="3"/>
      <c r="G792" s="3"/>
    </row>
    <row r="793" spans="4:7">
      <c r="D793" s="3"/>
      <c r="E793" s="3"/>
      <c r="F793" s="3"/>
      <c r="G793" s="3"/>
    </row>
    <row r="794" spans="4:7">
      <c r="D794" s="3"/>
      <c r="E794" s="3"/>
      <c r="F794" s="3"/>
      <c r="G794" s="3"/>
    </row>
    <row r="795" spans="4:7">
      <c r="D795" s="3"/>
      <c r="E795" s="3"/>
      <c r="F795" s="3"/>
      <c r="G795" s="3"/>
    </row>
    <row r="796" spans="4:7">
      <c r="D796" s="3"/>
      <c r="E796" s="3"/>
      <c r="F796" s="3"/>
      <c r="G796" s="3"/>
    </row>
    <row r="797" spans="4:7">
      <c r="D797" s="3"/>
      <c r="E797" s="3"/>
      <c r="F797" s="3"/>
      <c r="G797" s="3"/>
    </row>
    <row r="798" spans="4:7">
      <c r="D798" s="3"/>
      <c r="E798" s="3"/>
      <c r="F798" s="3"/>
      <c r="G798" s="3"/>
    </row>
    <row r="799" spans="4:7">
      <c r="D799" s="3"/>
      <c r="E799" s="3"/>
      <c r="F799" s="3"/>
      <c r="G799" s="3"/>
    </row>
    <row r="800" spans="4:7">
      <c r="D800" s="3"/>
      <c r="E800" s="3"/>
      <c r="F800" s="3"/>
      <c r="G800" s="3"/>
    </row>
    <row r="801" spans="4:7">
      <c r="D801" s="3"/>
      <c r="E801" s="3"/>
      <c r="F801" s="3"/>
      <c r="G801" s="3"/>
    </row>
    <row r="802" spans="4:7">
      <c r="D802" s="3"/>
      <c r="E802" s="3"/>
      <c r="F802" s="3"/>
      <c r="G802" s="3"/>
    </row>
    <row r="803" spans="4:7">
      <c r="D803" s="3"/>
      <c r="E803" s="3"/>
      <c r="F803" s="3"/>
      <c r="G803" s="3"/>
    </row>
    <row r="804" spans="4:7">
      <c r="D804" s="3"/>
      <c r="E804" s="3"/>
      <c r="F804" s="3"/>
      <c r="G804" s="3"/>
    </row>
    <row r="805" spans="4:7">
      <c r="D805" s="3"/>
      <c r="E805" s="3"/>
      <c r="F805" s="3"/>
      <c r="G805" s="3"/>
    </row>
    <row r="806" spans="4:7">
      <c r="D806" s="3"/>
      <c r="E806" s="3"/>
      <c r="F806" s="3"/>
      <c r="G806" s="3"/>
    </row>
    <row r="807" spans="4:7">
      <c r="D807" s="3"/>
      <c r="E807" s="3"/>
      <c r="F807" s="3"/>
      <c r="G807" s="3"/>
    </row>
    <row r="808" spans="4:7">
      <c r="D808" s="3"/>
      <c r="E808" s="3"/>
      <c r="F808" s="3"/>
      <c r="G808" s="3"/>
    </row>
    <row r="809" spans="4:7">
      <c r="D809" s="3"/>
      <c r="E809" s="3"/>
      <c r="F809" s="3"/>
      <c r="G809" s="3"/>
    </row>
    <row r="810" spans="4:7">
      <c r="D810" s="3"/>
      <c r="E810" s="3"/>
      <c r="F810" s="3"/>
      <c r="G810" s="3"/>
    </row>
    <row r="811" spans="4:7">
      <c r="D811" s="3"/>
      <c r="E811" s="3"/>
      <c r="F811" s="3"/>
      <c r="G811" s="3"/>
    </row>
    <row r="812" spans="4:7">
      <c r="D812" s="3"/>
      <c r="E812" s="3"/>
      <c r="F812" s="3"/>
      <c r="G812" s="3"/>
    </row>
    <row r="813" spans="4:7">
      <c r="D813" s="3"/>
      <c r="E813" s="3"/>
      <c r="F813" s="3"/>
      <c r="G813" s="3"/>
    </row>
    <row r="814" spans="4:7">
      <c r="D814" s="3"/>
      <c r="E814" s="3"/>
      <c r="F814" s="3"/>
      <c r="G814" s="3"/>
    </row>
    <row r="815" spans="4:7">
      <c r="D815" s="3"/>
      <c r="E815" s="3"/>
      <c r="F815" s="3"/>
      <c r="G815" s="3"/>
    </row>
    <row r="816" spans="4:7">
      <c r="D816" s="3"/>
      <c r="E816" s="3"/>
      <c r="F816" s="3"/>
      <c r="G816" s="3"/>
    </row>
    <row r="817" spans="4:7">
      <c r="D817" s="3"/>
      <c r="E817" s="3"/>
      <c r="F817" s="3"/>
      <c r="G817" s="3"/>
    </row>
    <row r="818" spans="4:7">
      <c r="D818" s="3"/>
      <c r="E818" s="3"/>
      <c r="F818" s="3"/>
      <c r="G818" s="3"/>
    </row>
    <row r="819" spans="4:7">
      <c r="D819" s="3"/>
      <c r="E819" s="3"/>
      <c r="F819" s="3"/>
      <c r="G819" s="3"/>
    </row>
    <row r="820" spans="4:7">
      <c r="D820" s="3"/>
      <c r="E820" s="3"/>
      <c r="F820" s="3"/>
      <c r="G820" s="3"/>
    </row>
    <row r="821" spans="4:7">
      <c r="D821" s="3"/>
      <c r="E821" s="3"/>
      <c r="F821" s="3"/>
      <c r="G821" s="3"/>
    </row>
    <row r="822" spans="4:7">
      <c r="D822" s="3"/>
      <c r="E822" s="3"/>
      <c r="F822" s="3"/>
      <c r="G822" s="3"/>
    </row>
    <row r="823" spans="4:7">
      <c r="D823" s="3"/>
      <c r="E823" s="3"/>
      <c r="F823" s="3"/>
      <c r="G823" s="3"/>
    </row>
    <row r="824" spans="4:7">
      <c r="D824" s="3"/>
      <c r="E824" s="3"/>
      <c r="F824" s="3"/>
      <c r="G824" s="3"/>
    </row>
    <row r="825" spans="4:7">
      <c r="D825" s="3"/>
      <c r="E825" s="3"/>
      <c r="F825" s="3"/>
      <c r="G825" s="3"/>
    </row>
    <row r="826" spans="4:7">
      <c r="D826" s="3"/>
      <c r="E826" s="3"/>
      <c r="F826" s="3"/>
      <c r="G826" s="3"/>
    </row>
    <row r="827" spans="4:7">
      <c r="D827" s="3"/>
      <c r="E827" s="3"/>
      <c r="F827" s="3"/>
      <c r="G827" s="3"/>
    </row>
    <row r="828" spans="4:7">
      <c r="D828" s="3"/>
      <c r="E828" s="3"/>
      <c r="F828" s="3"/>
      <c r="G828" s="3"/>
    </row>
    <row r="829" spans="4:7">
      <c r="D829" s="3"/>
      <c r="E829" s="3"/>
      <c r="F829" s="3"/>
      <c r="G829" s="3"/>
    </row>
    <row r="830" spans="4:7">
      <c r="D830" s="3"/>
      <c r="E830" s="3"/>
      <c r="F830" s="3"/>
      <c r="G830" s="3"/>
    </row>
    <row r="831" spans="4:7">
      <c r="D831" s="3"/>
      <c r="E831" s="3"/>
      <c r="F831" s="3"/>
      <c r="G831" s="3"/>
    </row>
    <row r="832" spans="4:7">
      <c r="D832" s="3"/>
      <c r="E832" s="3"/>
      <c r="F832" s="3"/>
      <c r="G832" s="3"/>
    </row>
    <row r="833" spans="4:7">
      <c r="D833" s="3"/>
      <c r="E833" s="3"/>
      <c r="F833" s="3"/>
      <c r="G833" s="3"/>
    </row>
    <row r="834" spans="4:7">
      <c r="D834" s="3"/>
      <c r="E834" s="3"/>
      <c r="F834" s="3"/>
      <c r="G834" s="3"/>
    </row>
    <row r="835" spans="4:7">
      <c r="D835" s="3"/>
      <c r="E835" s="3"/>
      <c r="F835" s="3"/>
      <c r="G835" s="3"/>
    </row>
    <row r="836" spans="4:7">
      <c r="D836" s="3"/>
      <c r="E836" s="3"/>
      <c r="F836" s="3"/>
      <c r="G836" s="3"/>
    </row>
    <row r="837" spans="4:7">
      <c r="D837" s="3"/>
      <c r="E837" s="3"/>
      <c r="F837" s="3"/>
      <c r="G837" s="3"/>
    </row>
    <row r="838" spans="4:7">
      <c r="D838" s="3"/>
      <c r="E838" s="3"/>
      <c r="F838" s="3"/>
      <c r="G838" s="3"/>
    </row>
    <row r="839" spans="4:7">
      <c r="D839" s="3"/>
      <c r="E839" s="3"/>
      <c r="F839" s="3"/>
      <c r="G839" s="3"/>
    </row>
    <row r="840" spans="4:7">
      <c r="D840" s="3"/>
      <c r="E840" s="3"/>
      <c r="F840" s="3"/>
      <c r="G840" s="3"/>
    </row>
    <row r="841" spans="4:7">
      <c r="D841" s="3"/>
      <c r="E841" s="3"/>
      <c r="F841" s="3"/>
      <c r="G841" s="3"/>
    </row>
    <row r="842" spans="4:7">
      <c r="D842" s="3"/>
      <c r="E842" s="3"/>
      <c r="F842" s="3"/>
      <c r="G842" s="3"/>
    </row>
    <row r="843" spans="4:7">
      <c r="D843" s="3"/>
      <c r="E843" s="3"/>
      <c r="F843" s="3"/>
      <c r="G843" s="3"/>
    </row>
    <row r="844" spans="4:7">
      <c r="D844" s="3"/>
      <c r="E844" s="3"/>
      <c r="F844" s="3"/>
      <c r="G844" s="3"/>
    </row>
    <row r="845" spans="4:7">
      <c r="D845" s="3"/>
      <c r="E845" s="3"/>
      <c r="F845" s="3"/>
      <c r="G845" s="3"/>
    </row>
    <row r="846" spans="4:7">
      <c r="D846" s="3"/>
      <c r="E846" s="3"/>
      <c r="F846" s="3"/>
      <c r="G846" s="3"/>
    </row>
    <row r="847" spans="4:7">
      <c r="D847" s="3"/>
      <c r="E847" s="3"/>
      <c r="F847" s="3"/>
      <c r="G847" s="3"/>
    </row>
    <row r="848" spans="4:7">
      <c r="D848" s="3"/>
      <c r="E848" s="3"/>
      <c r="F848" s="3"/>
      <c r="G848" s="3"/>
    </row>
    <row r="849" spans="4:7">
      <c r="D849" s="3"/>
      <c r="E849" s="3"/>
      <c r="F849" s="3"/>
      <c r="G849" s="3"/>
    </row>
    <row r="850" spans="4:7">
      <c r="D850" s="3"/>
      <c r="E850" s="3"/>
      <c r="F850" s="3"/>
      <c r="G850" s="3"/>
    </row>
    <row r="851" spans="4:7">
      <c r="D851" s="3"/>
      <c r="E851" s="3"/>
      <c r="F851" s="3"/>
      <c r="G851" s="3"/>
    </row>
    <row r="852" spans="4:7">
      <c r="D852" s="3"/>
      <c r="E852" s="3"/>
      <c r="F852" s="3"/>
      <c r="G852" s="3"/>
    </row>
    <row r="853" spans="4:7">
      <c r="D853" s="3"/>
      <c r="E853" s="3"/>
      <c r="F853" s="3"/>
      <c r="G853" s="3"/>
    </row>
    <row r="854" spans="4:7">
      <c r="D854" s="3"/>
      <c r="E854" s="3"/>
      <c r="F854" s="3"/>
      <c r="G854" s="3"/>
    </row>
    <row r="855" spans="4:7">
      <c r="D855" s="3"/>
      <c r="E855" s="3"/>
      <c r="F855" s="3"/>
      <c r="G855" s="3"/>
    </row>
    <row r="856" spans="4:7">
      <c r="D856" s="3"/>
      <c r="E856" s="3"/>
      <c r="F856" s="3"/>
      <c r="G856" s="3"/>
    </row>
    <row r="857" spans="4:7">
      <c r="D857" s="3"/>
      <c r="E857" s="3"/>
      <c r="F857" s="3"/>
      <c r="G857" s="3"/>
    </row>
    <row r="858" spans="4:7">
      <c r="D858" s="3"/>
      <c r="E858" s="3"/>
      <c r="F858" s="3"/>
      <c r="G858" s="3"/>
    </row>
    <row r="859" spans="4:7">
      <c r="D859" s="3"/>
      <c r="E859" s="3"/>
      <c r="F859" s="3"/>
      <c r="G859" s="3"/>
    </row>
    <row r="860" spans="4:7">
      <c r="D860" s="3"/>
      <c r="E860" s="3"/>
      <c r="F860" s="3"/>
      <c r="G860" s="3"/>
    </row>
    <row r="861" spans="4:7">
      <c r="D861" s="3"/>
      <c r="E861" s="3"/>
      <c r="F861" s="3"/>
      <c r="G861" s="3"/>
    </row>
    <row r="862" spans="4:7">
      <c r="D862" s="3"/>
      <c r="E862" s="3"/>
      <c r="F862" s="3"/>
      <c r="G862" s="3"/>
    </row>
    <row r="863" spans="4:7">
      <c r="D863" s="3"/>
      <c r="E863" s="3"/>
      <c r="F863" s="3"/>
      <c r="G863" s="3"/>
    </row>
    <row r="864" spans="4:7">
      <c r="D864" s="3"/>
      <c r="E864" s="3"/>
      <c r="F864" s="3"/>
      <c r="G864" s="3"/>
    </row>
    <row r="865" spans="4:7">
      <c r="D865" s="3"/>
      <c r="E865" s="3"/>
      <c r="F865" s="3"/>
      <c r="G865" s="3"/>
    </row>
    <row r="866" spans="4:7">
      <c r="D866" s="3"/>
      <c r="E866" s="3"/>
      <c r="F866" s="3"/>
      <c r="G866" s="3"/>
    </row>
    <row r="867" spans="4:7">
      <c r="D867" s="3"/>
      <c r="E867" s="3"/>
      <c r="F867" s="3"/>
      <c r="G867" s="3"/>
    </row>
    <row r="868" spans="4:7">
      <c r="D868" s="3"/>
      <c r="E868" s="3"/>
      <c r="F868" s="3"/>
      <c r="G868" s="3"/>
    </row>
    <row r="869" spans="4:7">
      <c r="D869" s="3"/>
      <c r="E869" s="3"/>
      <c r="F869" s="3"/>
      <c r="G869" s="3"/>
    </row>
    <row r="870" spans="4:7">
      <c r="D870" s="3"/>
      <c r="E870" s="3"/>
      <c r="F870" s="3"/>
      <c r="G870" s="3"/>
    </row>
    <row r="871" spans="4:7">
      <c r="D871" s="3"/>
      <c r="E871" s="3"/>
      <c r="F871" s="3"/>
      <c r="G871" s="3"/>
    </row>
    <row r="872" spans="4:7">
      <c r="D872" s="3"/>
      <c r="E872" s="3"/>
      <c r="F872" s="3"/>
      <c r="G872" s="3"/>
    </row>
    <row r="873" spans="4:7">
      <c r="D873" s="3"/>
      <c r="E873" s="3"/>
      <c r="F873" s="3"/>
      <c r="G873" s="3"/>
    </row>
    <row r="874" spans="4:7">
      <c r="D874" s="3"/>
      <c r="E874" s="3"/>
      <c r="F874" s="3"/>
      <c r="G874" s="3"/>
    </row>
    <row r="875" spans="4:7">
      <c r="D875" s="3"/>
      <c r="E875" s="3"/>
      <c r="F875" s="3"/>
      <c r="G875" s="3"/>
    </row>
    <row r="876" spans="4:7">
      <c r="D876" s="3"/>
      <c r="E876" s="3"/>
      <c r="F876" s="3"/>
      <c r="G876" s="3"/>
    </row>
    <row r="877" spans="4:7">
      <c r="D877" s="3"/>
      <c r="E877" s="3"/>
      <c r="F877" s="3"/>
      <c r="G877" s="3"/>
    </row>
    <row r="878" spans="4:7">
      <c r="D878" s="3"/>
      <c r="E878" s="3"/>
      <c r="F878" s="3"/>
      <c r="G878" s="3"/>
    </row>
    <row r="879" spans="4:7">
      <c r="D879" s="3"/>
      <c r="E879" s="3"/>
      <c r="F879" s="3"/>
      <c r="G879" s="3"/>
    </row>
    <row r="880" spans="4:7">
      <c r="D880" s="3"/>
      <c r="E880" s="3"/>
      <c r="F880" s="3"/>
      <c r="G880" s="3"/>
    </row>
    <row r="881" spans="4:7">
      <c r="D881" s="3"/>
      <c r="E881" s="3"/>
      <c r="F881" s="3"/>
      <c r="G881" s="3"/>
    </row>
    <row r="882" spans="4:7">
      <c r="D882" s="3"/>
      <c r="E882" s="3"/>
      <c r="F882" s="3"/>
      <c r="G882" s="3"/>
    </row>
    <row r="883" spans="4:7">
      <c r="D883" s="3"/>
      <c r="E883" s="3"/>
      <c r="F883" s="3"/>
      <c r="G883" s="3"/>
    </row>
    <row r="884" spans="4:7">
      <c r="D884" s="3"/>
      <c r="E884" s="3"/>
      <c r="F884" s="3"/>
      <c r="G884" s="3"/>
    </row>
    <row r="885" spans="4:7">
      <c r="D885" s="3"/>
      <c r="E885" s="3"/>
      <c r="F885" s="3"/>
      <c r="G885" s="3"/>
    </row>
    <row r="886" spans="4:7">
      <c r="D886" s="3"/>
      <c r="E886" s="3"/>
      <c r="F886" s="3"/>
      <c r="G886" s="3"/>
    </row>
    <row r="887" spans="4:7">
      <c r="D887" s="3"/>
      <c r="E887" s="3"/>
      <c r="F887" s="3"/>
      <c r="G887" s="3"/>
    </row>
    <row r="888" spans="4:7">
      <c r="D888" s="3"/>
      <c r="E888" s="3"/>
      <c r="F888" s="3"/>
      <c r="G888" s="3"/>
    </row>
    <row r="889" spans="4:7">
      <c r="D889" s="3"/>
      <c r="E889" s="3"/>
      <c r="F889" s="3"/>
      <c r="G889" s="3"/>
    </row>
    <row r="890" spans="4:7">
      <c r="D890" s="3"/>
      <c r="E890" s="3"/>
      <c r="F890" s="3"/>
      <c r="G890" s="3"/>
    </row>
    <row r="891" spans="4:7">
      <c r="D891" s="3"/>
      <c r="E891" s="3"/>
      <c r="F891" s="3"/>
      <c r="G891" s="3"/>
    </row>
    <row r="892" spans="4:7">
      <c r="D892" s="3"/>
      <c r="E892" s="3"/>
      <c r="F892" s="3"/>
      <c r="G892" s="3"/>
    </row>
    <row r="893" spans="4:7">
      <c r="D893" s="3"/>
      <c r="E893" s="3"/>
      <c r="F893" s="3"/>
      <c r="G893" s="3"/>
    </row>
    <row r="894" spans="4:7">
      <c r="D894" s="3"/>
      <c r="E894" s="3"/>
      <c r="F894" s="3"/>
      <c r="G894" s="3"/>
    </row>
    <row r="895" spans="4:7">
      <c r="D895" s="3"/>
      <c r="E895" s="3"/>
      <c r="F895" s="3"/>
      <c r="G895" s="3"/>
    </row>
    <row r="896" spans="4:7">
      <c r="D896" s="3"/>
      <c r="E896" s="3"/>
      <c r="F896" s="3"/>
      <c r="G896" s="3"/>
    </row>
    <row r="897" spans="4:7">
      <c r="D897" s="3"/>
      <c r="E897" s="3"/>
      <c r="F897" s="3"/>
      <c r="G897" s="3"/>
    </row>
    <row r="898" spans="4:7">
      <c r="D898" s="3"/>
      <c r="E898" s="3"/>
      <c r="F898" s="3"/>
      <c r="G898" s="3"/>
    </row>
    <row r="899" spans="4:7">
      <c r="D899" s="3"/>
      <c r="E899" s="3"/>
      <c r="F899" s="3"/>
      <c r="G899" s="3"/>
    </row>
    <row r="900" spans="4:7">
      <c r="D900" s="3"/>
      <c r="E900" s="3"/>
      <c r="F900" s="3"/>
      <c r="G900" s="3"/>
    </row>
    <row r="901" spans="4:7">
      <c r="D901" s="3"/>
      <c r="E901" s="3"/>
      <c r="F901" s="3"/>
      <c r="G901" s="3"/>
    </row>
    <row r="902" spans="4:7">
      <c r="D902" s="3"/>
      <c r="E902" s="3"/>
      <c r="F902" s="3"/>
      <c r="G902" s="3"/>
    </row>
    <row r="903" spans="4:7">
      <c r="D903" s="3"/>
      <c r="E903" s="3"/>
      <c r="F903" s="3"/>
      <c r="G903" s="3"/>
    </row>
    <row r="904" spans="4:7">
      <c r="D904" s="3"/>
      <c r="E904" s="3"/>
      <c r="F904" s="3"/>
      <c r="G904" s="3"/>
    </row>
    <row r="905" spans="4:7">
      <c r="D905" s="3"/>
      <c r="E905" s="3"/>
      <c r="F905" s="3"/>
      <c r="G905" s="3"/>
    </row>
    <row r="906" spans="4:7">
      <c r="D906" s="3"/>
      <c r="E906" s="3"/>
      <c r="F906" s="3"/>
      <c r="G906" s="3"/>
    </row>
    <row r="907" spans="4:7">
      <c r="D907" s="3"/>
      <c r="E907" s="3"/>
      <c r="F907" s="3"/>
      <c r="G907" s="3"/>
    </row>
    <row r="908" spans="4:7">
      <c r="D908" s="3"/>
      <c r="E908" s="3"/>
      <c r="F908" s="3"/>
      <c r="G908" s="3"/>
    </row>
    <row r="909" spans="4:7">
      <c r="D909" s="3"/>
      <c r="E909" s="3"/>
      <c r="F909" s="3"/>
      <c r="G909" s="3"/>
    </row>
    <row r="910" spans="4:7">
      <c r="D910" s="3"/>
      <c r="E910" s="3"/>
      <c r="F910" s="3"/>
      <c r="G910" s="3"/>
    </row>
    <row r="911" spans="4:7">
      <c r="D911" s="3"/>
      <c r="E911" s="3"/>
      <c r="F911" s="3"/>
      <c r="G911" s="3"/>
    </row>
    <row r="912" spans="4:7">
      <c r="D912" s="3"/>
      <c r="E912" s="3"/>
      <c r="F912" s="3"/>
      <c r="G912" s="3"/>
    </row>
    <row r="913" spans="4:7">
      <c r="D913" s="3"/>
      <c r="E913" s="3"/>
      <c r="F913" s="3"/>
      <c r="G913" s="3"/>
    </row>
    <row r="914" spans="4:7">
      <c r="D914" s="3"/>
      <c r="E914" s="3"/>
      <c r="F914" s="3"/>
      <c r="G914" s="3"/>
    </row>
    <row r="915" spans="4:7">
      <c r="D915" s="3"/>
      <c r="E915" s="3"/>
      <c r="F915" s="3"/>
      <c r="G915" s="3"/>
    </row>
    <row r="916" spans="4:7">
      <c r="D916" s="3"/>
      <c r="E916" s="3"/>
      <c r="F916" s="3"/>
      <c r="G916" s="3"/>
    </row>
    <row r="917" spans="4:7">
      <c r="D917" s="3"/>
      <c r="E917" s="3"/>
      <c r="F917" s="3"/>
      <c r="G917" s="3"/>
    </row>
    <row r="918" spans="4:7">
      <c r="D918" s="3"/>
      <c r="E918" s="3"/>
      <c r="F918" s="3"/>
      <c r="G918" s="3"/>
    </row>
    <row r="919" spans="4:7">
      <c r="D919" s="3"/>
      <c r="E919" s="3"/>
      <c r="F919" s="3"/>
      <c r="G919" s="3"/>
    </row>
    <row r="920" spans="4:7">
      <c r="D920" s="3"/>
      <c r="E920" s="3"/>
      <c r="F920" s="3"/>
      <c r="G920" s="3"/>
    </row>
    <row r="921" spans="4:7">
      <c r="D921" s="3"/>
      <c r="E921" s="3"/>
      <c r="F921" s="3"/>
      <c r="G921" s="3"/>
    </row>
    <row r="922" spans="4:7">
      <c r="D922" s="3"/>
      <c r="E922" s="3"/>
      <c r="F922" s="3"/>
      <c r="G922" s="3"/>
    </row>
    <row r="923" spans="4:7">
      <c r="D923" s="3"/>
      <c r="E923" s="3"/>
      <c r="F923" s="3"/>
      <c r="G923" s="3"/>
    </row>
    <row r="924" spans="4:7">
      <c r="D924" s="3"/>
      <c r="E924" s="3"/>
      <c r="F924" s="3"/>
      <c r="G924" s="3"/>
    </row>
    <row r="925" spans="4:7">
      <c r="D925" s="3"/>
      <c r="E925" s="3"/>
      <c r="F925" s="3"/>
      <c r="G925" s="3"/>
    </row>
    <row r="926" spans="4:7">
      <c r="D926" s="3"/>
      <c r="E926" s="3"/>
      <c r="F926" s="3"/>
      <c r="G926" s="3"/>
    </row>
    <row r="927" spans="4:7">
      <c r="D927" s="3"/>
      <c r="E927" s="3"/>
      <c r="F927" s="3"/>
      <c r="G927" s="3"/>
    </row>
    <row r="928" spans="4:7">
      <c r="D928" s="3"/>
      <c r="E928" s="3"/>
      <c r="F928" s="3"/>
      <c r="G928" s="3"/>
    </row>
    <row r="929" spans="4:7">
      <c r="D929" s="3"/>
      <c r="E929" s="3"/>
      <c r="F929" s="3"/>
      <c r="G929" s="3"/>
    </row>
    <row r="930" spans="4:7">
      <c r="D930" s="3"/>
      <c r="E930" s="3"/>
      <c r="F930" s="3"/>
      <c r="G930" s="3"/>
    </row>
    <row r="931" spans="4:7">
      <c r="D931" s="3"/>
      <c r="E931" s="3"/>
      <c r="F931" s="3"/>
      <c r="G931" s="3"/>
    </row>
    <row r="932" spans="4:7">
      <c r="D932" s="3"/>
      <c r="E932" s="3"/>
      <c r="F932" s="3"/>
      <c r="G932" s="3"/>
    </row>
    <row r="933" spans="4:7">
      <c r="D933" s="3"/>
      <c r="E933" s="3"/>
      <c r="F933" s="3"/>
      <c r="G933" s="3"/>
    </row>
    <row r="934" spans="4:7">
      <c r="D934" s="3"/>
      <c r="E934" s="3"/>
      <c r="F934" s="3"/>
      <c r="G934" s="3"/>
    </row>
    <row r="935" spans="4:7">
      <c r="D935" s="3"/>
      <c r="E935" s="3"/>
      <c r="F935" s="3"/>
      <c r="G935" s="3"/>
    </row>
    <row r="936" spans="4:7">
      <c r="D936" s="3"/>
      <c r="E936" s="3"/>
      <c r="F936" s="3"/>
      <c r="G936" s="3"/>
    </row>
    <row r="937" spans="4:7">
      <c r="D937" s="3"/>
      <c r="E937" s="3"/>
      <c r="F937" s="3"/>
      <c r="G937" s="3"/>
    </row>
    <row r="938" spans="4:7">
      <c r="D938" s="3"/>
      <c r="E938" s="3"/>
      <c r="F938" s="3"/>
      <c r="G938" s="3"/>
    </row>
    <row r="939" spans="4:7">
      <c r="D939" s="3"/>
      <c r="E939" s="3"/>
      <c r="F939" s="3"/>
      <c r="G939" s="3"/>
    </row>
    <row r="940" spans="4:7">
      <c r="D940" s="3"/>
      <c r="E940" s="3"/>
      <c r="F940" s="3"/>
      <c r="G940" s="3"/>
    </row>
    <row r="941" spans="4:7">
      <c r="D941" s="3"/>
      <c r="E941" s="3"/>
      <c r="F941" s="3"/>
      <c r="G941" s="3"/>
    </row>
    <row r="942" spans="4:7">
      <c r="D942" s="3"/>
      <c r="E942" s="3"/>
      <c r="F942" s="3"/>
      <c r="G942" s="3"/>
    </row>
    <row r="943" spans="4:7">
      <c r="D943" s="3"/>
      <c r="E943" s="3"/>
      <c r="F943" s="3"/>
      <c r="G943" s="3"/>
    </row>
    <row r="944" spans="4:7">
      <c r="D944" s="3"/>
      <c r="E944" s="3"/>
      <c r="F944" s="3"/>
      <c r="G944" s="3"/>
    </row>
    <row r="945" spans="4:7">
      <c r="D945" s="3"/>
      <c r="E945" s="3"/>
      <c r="F945" s="3"/>
      <c r="G945" s="3"/>
    </row>
    <row r="946" spans="4:7">
      <c r="D946" s="3"/>
      <c r="E946" s="3"/>
      <c r="F946" s="3"/>
      <c r="G946" s="3"/>
    </row>
    <row r="947" spans="4:7">
      <c r="D947" s="3"/>
      <c r="E947" s="3"/>
      <c r="F947" s="3"/>
      <c r="G947" s="3"/>
    </row>
    <row r="948" spans="4:7">
      <c r="D948" s="3"/>
      <c r="E948" s="3"/>
      <c r="F948" s="3"/>
      <c r="G948" s="3"/>
    </row>
    <row r="949" spans="4:7">
      <c r="D949" s="3"/>
      <c r="E949" s="3"/>
      <c r="F949" s="3"/>
      <c r="G949" s="3"/>
    </row>
    <row r="950" spans="4:7">
      <c r="D950" s="3"/>
      <c r="E950" s="3"/>
      <c r="F950" s="3"/>
      <c r="G950" s="3"/>
    </row>
    <row r="951" spans="4:7">
      <c r="D951" s="3"/>
      <c r="E951" s="3"/>
      <c r="F951" s="3"/>
      <c r="G951" s="3"/>
    </row>
    <row r="952" spans="4:7">
      <c r="D952" s="3"/>
      <c r="E952" s="3"/>
      <c r="F952" s="3"/>
      <c r="G952" s="3"/>
    </row>
    <row r="953" spans="4:7">
      <c r="D953" s="3"/>
      <c r="E953" s="3"/>
      <c r="F953" s="3"/>
      <c r="G953" s="3"/>
    </row>
    <row r="954" spans="4:7">
      <c r="D954" s="3"/>
      <c r="E954" s="3"/>
      <c r="F954" s="3"/>
      <c r="G954" s="3"/>
    </row>
    <row r="955" spans="4:7">
      <c r="D955" s="3"/>
      <c r="E955" s="3"/>
      <c r="F955" s="3"/>
      <c r="G955" s="3"/>
    </row>
    <row r="956" spans="4:7">
      <c r="D956" s="3"/>
      <c r="E956" s="3"/>
      <c r="F956" s="3"/>
      <c r="G956" s="3"/>
    </row>
    <row r="957" spans="4:7">
      <c r="D957" s="3"/>
      <c r="E957" s="3"/>
      <c r="F957" s="3"/>
      <c r="G957" s="3"/>
    </row>
    <row r="958" spans="4:7">
      <c r="D958" s="3"/>
      <c r="E958" s="3"/>
      <c r="F958" s="3"/>
      <c r="G958" s="3"/>
    </row>
    <row r="959" spans="4:7">
      <c r="D959" s="3"/>
      <c r="E959" s="3"/>
      <c r="F959" s="3"/>
      <c r="G959" s="3"/>
    </row>
    <row r="960" spans="4:7">
      <c r="D960" s="3"/>
      <c r="E960" s="3"/>
      <c r="F960" s="3"/>
      <c r="G960" s="3"/>
    </row>
    <row r="961" spans="4:7">
      <c r="D961" s="3"/>
      <c r="E961" s="3"/>
      <c r="F961" s="3"/>
      <c r="G961" s="3"/>
    </row>
    <row r="962" spans="4:7">
      <c r="D962" s="3"/>
      <c r="E962" s="3"/>
      <c r="F962" s="3"/>
      <c r="G962" s="3"/>
    </row>
    <row r="963" spans="4:7">
      <c r="D963" s="3"/>
      <c r="E963" s="3"/>
      <c r="F963" s="3"/>
      <c r="G963" s="3"/>
    </row>
    <row r="964" spans="4:7">
      <c r="D964" s="3"/>
      <c r="E964" s="3"/>
      <c r="F964" s="3"/>
      <c r="G964" s="3"/>
    </row>
    <row r="965" spans="4:7">
      <c r="D965" s="3"/>
      <c r="E965" s="3"/>
      <c r="F965" s="3"/>
      <c r="G965" s="3"/>
    </row>
    <row r="966" spans="4:7">
      <c r="D966" s="3"/>
      <c r="E966" s="3"/>
      <c r="F966" s="3"/>
      <c r="G966" s="3"/>
    </row>
    <row r="967" spans="4:7">
      <c r="D967" s="3"/>
      <c r="E967" s="3"/>
      <c r="F967" s="3"/>
      <c r="G967" s="3"/>
    </row>
    <row r="968" spans="4:7">
      <c r="D968" s="3"/>
      <c r="E968" s="3"/>
      <c r="F968" s="3"/>
      <c r="G968" s="3"/>
    </row>
    <row r="969" spans="4:7">
      <c r="D969" s="3"/>
      <c r="E969" s="3"/>
      <c r="F969" s="3"/>
      <c r="G969" s="3"/>
    </row>
    <row r="970" spans="4:7">
      <c r="D970" s="3"/>
      <c r="E970" s="3"/>
      <c r="F970" s="3"/>
      <c r="G970" s="3"/>
    </row>
    <row r="971" spans="4:7">
      <c r="D971" s="3"/>
      <c r="E971" s="3"/>
      <c r="F971" s="3"/>
      <c r="G971" s="3"/>
    </row>
    <row r="972" spans="4:7">
      <c r="D972" s="3"/>
      <c r="E972" s="3"/>
      <c r="F972" s="3"/>
      <c r="G972" s="3"/>
    </row>
    <row r="973" spans="4:7">
      <c r="D973" s="3"/>
      <c r="E973" s="3"/>
      <c r="F973" s="3"/>
      <c r="G973" s="3"/>
    </row>
    <row r="974" spans="4:7">
      <c r="D974" s="3"/>
      <c r="E974" s="3"/>
      <c r="F974" s="3"/>
      <c r="G974" s="3"/>
    </row>
    <row r="975" spans="4:7">
      <c r="D975" s="3"/>
      <c r="E975" s="3"/>
      <c r="F975" s="3"/>
      <c r="G975" s="3"/>
    </row>
    <row r="976" spans="4:7">
      <c r="D976" s="3"/>
      <c r="E976" s="3"/>
      <c r="F976" s="3"/>
      <c r="G976" s="3"/>
    </row>
    <row r="977" spans="4:7">
      <c r="D977" s="3"/>
      <c r="E977" s="3"/>
      <c r="F977" s="3"/>
      <c r="G977" s="3"/>
    </row>
    <row r="978" spans="4:7">
      <c r="D978" s="3"/>
      <c r="E978" s="3"/>
      <c r="F978" s="3"/>
      <c r="G978" s="3"/>
    </row>
    <row r="979" spans="4:7">
      <c r="D979" s="3"/>
      <c r="E979" s="3"/>
      <c r="F979" s="3"/>
      <c r="G979" s="3"/>
    </row>
    <row r="980" spans="4:7">
      <c r="D980" s="3"/>
      <c r="E980" s="3"/>
      <c r="F980" s="3"/>
      <c r="G980" s="3"/>
    </row>
    <row r="981" spans="4:7">
      <c r="D981" s="3"/>
      <c r="E981" s="3"/>
      <c r="F981" s="3"/>
      <c r="G981" s="3"/>
    </row>
    <row r="982" spans="4:7">
      <c r="D982" s="3"/>
      <c r="E982" s="3"/>
      <c r="F982" s="3"/>
      <c r="G982" s="3"/>
    </row>
    <row r="983" spans="4:7">
      <c r="D983" s="3"/>
      <c r="E983" s="3"/>
      <c r="F983" s="3"/>
      <c r="G983" s="3"/>
    </row>
    <row r="984" spans="4:7">
      <c r="D984" s="3"/>
      <c r="E984" s="3"/>
      <c r="F984" s="3"/>
      <c r="G984" s="3"/>
    </row>
    <row r="985" spans="4:7">
      <c r="D985" s="3"/>
      <c r="E985" s="3"/>
      <c r="F985" s="3"/>
      <c r="G985" s="3"/>
    </row>
    <row r="986" spans="4:7">
      <c r="D986" s="3"/>
      <c r="E986" s="3"/>
      <c r="F986" s="3"/>
      <c r="G986" s="3"/>
    </row>
    <row r="987" spans="4:7">
      <c r="D987" s="3"/>
      <c r="E987" s="3"/>
      <c r="F987" s="3"/>
      <c r="G987" s="3"/>
    </row>
    <row r="988" spans="4:7">
      <c r="D988" s="3"/>
      <c r="E988" s="3"/>
      <c r="F988" s="3"/>
      <c r="G988" s="3"/>
    </row>
    <row r="989" spans="4:7">
      <c r="D989" s="3"/>
      <c r="E989" s="3"/>
      <c r="F989" s="3"/>
      <c r="G989" s="3"/>
    </row>
    <row r="990" spans="4:7">
      <c r="D990" s="3"/>
      <c r="E990" s="3"/>
      <c r="F990" s="3"/>
      <c r="G990" s="3"/>
    </row>
    <row r="991" spans="4:7">
      <c r="D991" s="3"/>
      <c r="E991" s="3"/>
      <c r="F991" s="3"/>
      <c r="G991" s="3"/>
    </row>
    <row r="992" spans="4:7">
      <c r="D992" s="3"/>
      <c r="E992" s="3"/>
      <c r="F992" s="3"/>
      <c r="G992" s="3"/>
    </row>
  </sheetData>
  <phoneticPr fontId="69" type="noConversion"/>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fitToPage="1"/>
  </sheetPr>
  <dimension ref="A1:U1002"/>
  <sheetViews>
    <sheetView workbookViewId="0"/>
  </sheetViews>
  <sheetFormatPr defaultColWidth="12.6640625" defaultRowHeight="15.75" customHeight="1"/>
  <cols>
    <col min="2" max="2" width="24.109375" customWidth="1"/>
    <col min="3" max="3" width="33.6640625" customWidth="1"/>
    <col min="4" max="4" width="16.21875" customWidth="1"/>
  </cols>
  <sheetData>
    <row r="1" spans="1:11" ht="13.2">
      <c r="A1" s="2" t="s">
        <v>187</v>
      </c>
      <c r="B1" s="2" t="s">
        <v>1</v>
      </c>
      <c r="C1" s="2"/>
      <c r="D1" s="3"/>
      <c r="E1" s="3"/>
      <c r="F1" s="3"/>
      <c r="G1" s="3"/>
      <c r="H1" s="2"/>
      <c r="I1" s="2"/>
      <c r="J1" s="2"/>
    </row>
    <row r="2" spans="1:11" ht="13.2">
      <c r="A2" s="2" t="s">
        <v>188</v>
      </c>
      <c r="B2" s="100" t="s">
        <v>3</v>
      </c>
      <c r="C2" s="101"/>
      <c r="D2" s="102">
        <v>2024</v>
      </c>
      <c r="E2" s="102" t="s">
        <v>4</v>
      </c>
      <c r="F2" s="102" t="s">
        <v>5</v>
      </c>
      <c r="G2" s="103" t="s">
        <v>6</v>
      </c>
      <c r="H2" s="2"/>
    </row>
    <row r="3" spans="1:11" ht="13.8">
      <c r="A3" s="2"/>
      <c r="B3" s="104" t="s">
        <v>189</v>
      </c>
      <c r="C3" s="105"/>
      <c r="D3" s="106">
        <v>-2904574465</v>
      </c>
      <c r="E3" s="86">
        <f t="shared" ref="E3:G3" si="0">SUM(E4:E8)</f>
        <v>827096952998.22388</v>
      </c>
      <c r="F3" s="86">
        <f t="shared" si="0"/>
        <v>2360787387375.7207</v>
      </c>
      <c r="G3" s="87">
        <f t="shared" si="0"/>
        <v>4210795519113.8848</v>
      </c>
      <c r="H3" s="2"/>
    </row>
    <row r="4" spans="1:11" ht="13.8">
      <c r="A4" s="2"/>
      <c r="B4" s="107"/>
      <c r="C4" s="2" t="s">
        <v>137</v>
      </c>
      <c r="D4" s="108">
        <f>포괄손익계산서!D35</f>
        <v>528212898147</v>
      </c>
      <c r="E4" s="108">
        <f>포괄손익계산서!E35</f>
        <v>328345834617.21735</v>
      </c>
      <c r="F4" s="108">
        <f>포괄손익계산서!F35</f>
        <v>1860303598075.9761</v>
      </c>
      <c r="G4" s="109">
        <f>포괄손익계산서!G35</f>
        <v>3712308134695.5894</v>
      </c>
      <c r="H4" s="2"/>
      <c r="I4" s="1" t="s">
        <v>190</v>
      </c>
    </row>
    <row r="5" spans="1:11" ht="13.2">
      <c r="A5" s="2"/>
      <c r="B5" s="107"/>
      <c r="C5" s="2" t="s">
        <v>191</v>
      </c>
      <c r="D5" s="12">
        <v>133635000000</v>
      </c>
      <c r="E5" s="12">
        <f>재무상태표!E44/$I$5</f>
        <v>138905016213.48743</v>
      </c>
      <c r="F5" s="12">
        <f>재무상태표!F44/$I$5</f>
        <v>146770712054.51337</v>
      </c>
      <c r="G5" s="13">
        <f>재무상태표!G44/$I$5</f>
        <v>150907332095.35236</v>
      </c>
      <c r="H5" s="2"/>
      <c r="I5" s="1">
        <f>재무상태표!D44/D5</f>
        <v>34.783953706035092</v>
      </c>
    </row>
    <row r="6" spans="1:11" ht="13.8">
      <c r="A6" s="2"/>
      <c r="B6" s="107"/>
      <c r="C6" s="2" t="s">
        <v>192</v>
      </c>
      <c r="D6" s="12">
        <v>39658000000</v>
      </c>
      <c r="E6" s="12">
        <f>재무상태표!E45/$I$6</f>
        <v>33524981429.99472</v>
      </c>
      <c r="F6" s="12">
        <f>재무상태표!F45/$I$6</f>
        <v>27391835770.18214</v>
      </c>
      <c r="G6" s="13">
        <f>재무상태표!G45/$I$6</f>
        <v>21258690110.36956</v>
      </c>
      <c r="H6" s="2"/>
      <c r="I6" s="1">
        <f>재무상태표!D45/D6</f>
        <v>3.3547222161732817</v>
      </c>
      <c r="J6" s="110"/>
    </row>
    <row r="7" spans="1:11" ht="13.8">
      <c r="A7" s="2"/>
      <c r="B7" s="107"/>
      <c r="C7" s="2" t="s">
        <v>193</v>
      </c>
      <c r="D7" s="12">
        <v>6345000000</v>
      </c>
      <c r="E7" s="12">
        <f>재무상태표!E46/현금흐름표!$J$8</f>
        <v>6345120737.5244732</v>
      </c>
      <c r="F7" s="12">
        <f>재무상태표!F46/현금흐름표!$J$8</f>
        <v>6345241475.0489464</v>
      </c>
      <c r="G7" s="13">
        <f>재무상태표!G46/현금흐름표!$J$8</f>
        <v>6345362212.5734196</v>
      </c>
      <c r="H7" s="2"/>
      <c r="J7" s="110">
        <v>6345000000</v>
      </c>
    </row>
    <row r="8" spans="1:11" ht="13.2">
      <c r="A8" s="2"/>
      <c r="B8" s="107"/>
      <c r="C8" s="2" t="s">
        <v>194</v>
      </c>
      <c r="D8" s="12">
        <v>319976000000</v>
      </c>
      <c r="E8" s="12">
        <v>319976000000</v>
      </c>
      <c r="F8" s="12">
        <v>319976000000</v>
      </c>
      <c r="G8" s="13">
        <v>319976000000</v>
      </c>
      <c r="H8" s="2"/>
      <c r="I8" s="1" t="s">
        <v>195</v>
      </c>
      <c r="J8" s="1">
        <f>재무상태표!D46/J7</f>
        <v>62.118219109692674</v>
      </c>
    </row>
    <row r="9" spans="1:11" ht="13.8">
      <c r="A9" s="2"/>
      <c r="B9" s="104" t="s">
        <v>196</v>
      </c>
      <c r="C9" s="105"/>
      <c r="D9" s="106">
        <v>-1110137903</v>
      </c>
      <c r="E9" s="86">
        <f t="shared" ref="E9:G9" si="1">SUM(E10:E12)</f>
        <v>-1375681000000</v>
      </c>
      <c r="F9" s="86">
        <f t="shared" si="1"/>
        <v>-1407681000000</v>
      </c>
      <c r="G9" s="87">
        <f t="shared" si="1"/>
        <v>-1452681000000</v>
      </c>
      <c r="H9" s="2"/>
    </row>
    <row r="10" spans="1:11" ht="13.2">
      <c r="A10" s="2"/>
      <c r="B10" s="107"/>
      <c r="C10" s="2" t="s">
        <v>197</v>
      </c>
      <c r="D10" s="12">
        <v>-373000000000</v>
      </c>
      <c r="E10" s="12">
        <v>-1336000000000</v>
      </c>
      <c r="F10" s="12">
        <v>-1363000000000</v>
      </c>
      <c r="G10" s="13">
        <v>-1403000000000</v>
      </c>
      <c r="H10" s="2" t="s">
        <v>198</v>
      </c>
      <c r="I10" s="1" t="s">
        <v>199</v>
      </c>
      <c r="J10" s="1" t="s">
        <v>200</v>
      </c>
      <c r="K10" s="1" t="s">
        <v>201</v>
      </c>
    </row>
    <row r="11" spans="1:11" ht="15.75" customHeight="1">
      <c r="A11" s="2"/>
      <c r="B11" s="107"/>
      <c r="C11" s="2" t="s">
        <v>202</v>
      </c>
      <c r="D11" s="12">
        <v>-5058519639</v>
      </c>
      <c r="E11" s="12">
        <v>-40000000000</v>
      </c>
      <c r="F11" s="12">
        <v>-40000000000</v>
      </c>
      <c r="G11" s="13">
        <v>-40000000000</v>
      </c>
      <c r="H11" s="2" t="s">
        <v>203</v>
      </c>
      <c r="I11" s="1" t="s">
        <v>204</v>
      </c>
      <c r="J11" s="1" t="s">
        <v>204</v>
      </c>
      <c r="K11" s="1" t="s">
        <v>204</v>
      </c>
    </row>
    <row r="12" spans="1:11" ht="15.75" customHeight="1">
      <c r="A12" s="2"/>
      <c r="B12" s="107"/>
      <c r="C12" s="2" t="s">
        <v>205</v>
      </c>
      <c r="D12" s="111">
        <v>58763427109</v>
      </c>
      <c r="E12" s="12">
        <v>319000000</v>
      </c>
      <c r="F12" s="12">
        <v>-4681000000</v>
      </c>
      <c r="G12" s="13">
        <v>-9681000000</v>
      </c>
      <c r="H12" s="2" t="s">
        <v>206</v>
      </c>
      <c r="I12" s="1" t="s">
        <v>207</v>
      </c>
      <c r="J12" s="1" t="s">
        <v>208</v>
      </c>
      <c r="K12" s="1" t="s">
        <v>209</v>
      </c>
    </row>
    <row r="13" spans="1:11" ht="13.8">
      <c r="A13" s="2"/>
      <c r="B13" s="104" t="s">
        <v>210</v>
      </c>
      <c r="C13" s="105"/>
      <c r="D13" s="106">
        <v>2803001077</v>
      </c>
      <c r="E13" s="86">
        <f t="shared" ref="E13:G13" si="2">SUM(E14:E17)</f>
        <v>1875052000000</v>
      </c>
      <c r="F13" s="86">
        <f t="shared" si="2"/>
        <v>1524786000000</v>
      </c>
      <c r="G13" s="87">
        <f t="shared" si="2"/>
        <v>-975366000000</v>
      </c>
      <c r="H13" s="2"/>
    </row>
    <row r="14" spans="1:11" ht="15.75" customHeight="1">
      <c r="A14" s="2"/>
      <c r="B14" s="107"/>
      <c r="C14" s="2" t="s">
        <v>211</v>
      </c>
      <c r="D14" s="12">
        <v>2520000043436</v>
      </c>
      <c r="E14" s="12">
        <v>500000000000</v>
      </c>
      <c r="F14" s="12">
        <v>300000000000</v>
      </c>
      <c r="G14" s="13">
        <v>0</v>
      </c>
      <c r="H14" s="2" t="s">
        <v>212</v>
      </c>
      <c r="K14" s="1" t="s">
        <v>213</v>
      </c>
    </row>
    <row r="15" spans="1:11" ht="18" customHeight="1">
      <c r="A15" s="2"/>
      <c r="B15" s="107"/>
      <c r="C15" s="2" t="s">
        <v>214</v>
      </c>
      <c r="D15" s="12">
        <v>345755927053</v>
      </c>
      <c r="E15" s="12">
        <v>1400000000000</v>
      </c>
      <c r="F15" s="12">
        <v>1250000000000</v>
      </c>
      <c r="G15" s="13">
        <v>-900000000000</v>
      </c>
      <c r="H15" s="2" t="s">
        <v>215</v>
      </c>
      <c r="K15" s="1" t="s">
        <v>216</v>
      </c>
    </row>
    <row r="16" spans="1:11" ht="13.2">
      <c r="A16" s="2"/>
      <c r="B16" s="107"/>
      <c r="C16" s="2" t="s">
        <v>217</v>
      </c>
      <c r="D16" s="12">
        <v>12213000000</v>
      </c>
      <c r="E16" s="12">
        <v>-24948000000</v>
      </c>
      <c r="F16" s="12">
        <v>-25214000000</v>
      </c>
      <c r="G16" s="13">
        <v>-75366000000</v>
      </c>
      <c r="H16" s="2"/>
      <c r="I16" s="1" t="s">
        <v>218</v>
      </c>
    </row>
    <row r="17" spans="1:21" ht="13.2">
      <c r="A17" s="2"/>
      <c r="B17" s="107"/>
      <c r="C17" s="2" t="s">
        <v>219</v>
      </c>
      <c r="D17" s="12">
        <v>0</v>
      </c>
      <c r="E17" s="12">
        <v>0</v>
      </c>
      <c r="F17" s="12">
        <v>0</v>
      </c>
      <c r="G17" s="13">
        <v>0</v>
      </c>
      <c r="H17" s="2"/>
    </row>
    <row r="18" spans="1:21" ht="13.8">
      <c r="A18" s="2"/>
      <c r="B18" s="104" t="s">
        <v>220</v>
      </c>
      <c r="C18" s="105"/>
      <c r="D18" s="112">
        <v>-1211711291</v>
      </c>
      <c r="E18" s="86">
        <f t="shared" ref="E18:G18" si="3">E13+E9+E3</f>
        <v>1326467952998.2239</v>
      </c>
      <c r="F18" s="86">
        <f t="shared" si="3"/>
        <v>2477892387375.7207</v>
      </c>
      <c r="G18" s="87">
        <f t="shared" si="3"/>
        <v>1782748519113.8848</v>
      </c>
      <c r="H18" s="2"/>
    </row>
    <row r="19" spans="1:21" ht="13.2">
      <c r="A19" s="2"/>
      <c r="B19" s="107"/>
      <c r="C19" s="2" t="s">
        <v>221</v>
      </c>
      <c r="D19" s="12">
        <v>1799307748627</v>
      </c>
      <c r="E19" s="12">
        <f t="shared" ref="E19:G19" si="4">D20</f>
        <v>588259735081</v>
      </c>
      <c r="F19" s="12">
        <f t="shared" si="4"/>
        <v>1914727688079.2239</v>
      </c>
      <c r="G19" s="13">
        <f t="shared" si="4"/>
        <v>4392620075454.9443</v>
      </c>
      <c r="H19" s="2"/>
    </row>
    <row r="20" spans="1:21" ht="13.2">
      <c r="A20" s="2"/>
      <c r="B20" s="113"/>
      <c r="C20" s="15" t="s">
        <v>222</v>
      </c>
      <c r="D20" s="16">
        <v>588259735081</v>
      </c>
      <c r="E20" s="16">
        <f t="shared" ref="E20:G20" si="5">E18+E19</f>
        <v>1914727688079.2239</v>
      </c>
      <c r="F20" s="16">
        <f t="shared" si="5"/>
        <v>4392620075454.9443</v>
      </c>
      <c r="G20" s="17">
        <f t="shared" si="5"/>
        <v>6175368594568.8291</v>
      </c>
      <c r="H20" s="2"/>
    </row>
    <row r="21" spans="1:21" ht="13.2">
      <c r="A21" s="2"/>
      <c r="B21" s="2"/>
      <c r="C21" s="2"/>
      <c r="D21" s="3"/>
      <c r="E21" s="3"/>
      <c r="F21" s="3"/>
      <c r="G21" s="3"/>
      <c r="H21" s="2"/>
    </row>
    <row r="22" spans="1:21" ht="13.2">
      <c r="A22" s="2" t="s">
        <v>187</v>
      </c>
      <c r="B22" s="2" t="s">
        <v>29</v>
      </c>
      <c r="C22" s="2"/>
      <c r="D22" s="3"/>
      <c r="E22" s="3"/>
      <c r="F22" s="3"/>
      <c r="G22" s="3"/>
      <c r="H22" s="2"/>
    </row>
    <row r="23" spans="1:21" ht="13.2">
      <c r="A23" s="2"/>
      <c r="B23" s="100" t="s">
        <v>30</v>
      </c>
      <c r="C23" s="101"/>
      <c r="D23" s="102">
        <v>2024</v>
      </c>
      <c r="E23" s="102" t="s">
        <v>4</v>
      </c>
      <c r="F23" s="102" t="s">
        <v>5</v>
      </c>
      <c r="G23" s="103" t="s">
        <v>6</v>
      </c>
      <c r="H23" s="2"/>
    </row>
    <row r="24" spans="1:21" ht="13.8">
      <c r="A24" s="2"/>
      <c r="B24" s="104" t="s">
        <v>223</v>
      </c>
      <c r="C24" s="114"/>
      <c r="D24" s="115">
        <v>-2904574465563</v>
      </c>
      <c r="E24" s="116">
        <v>-81947013312.977173</v>
      </c>
      <c r="F24" s="96">
        <v>1933787075892.8633</v>
      </c>
      <c r="G24" s="96">
        <v>4370638489416.3545</v>
      </c>
      <c r="H24" s="2"/>
      <c r="I24" s="39">
        <v>-2904574465563</v>
      </c>
      <c r="J24" s="41">
        <v>-81947013312.977173</v>
      </c>
      <c r="K24" s="41">
        <f t="shared" ref="K24:L24" si="6">SUM(K25:K32)</f>
        <v>1933787075892.8633</v>
      </c>
      <c r="L24" s="41">
        <f t="shared" si="6"/>
        <v>4370638489416.3545</v>
      </c>
      <c r="N24" s="1" t="s">
        <v>224</v>
      </c>
    </row>
    <row r="25" spans="1:21" ht="13.8">
      <c r="A25" s="2"/>
      <c r="B25" s="107" t="s">
        <v>225</v>
      </c>
      <c r="C25" s="23"/>
      <c r="D25" s="117">
        <v>-2803726910616</v>
      </c>
      <c r="E25" s="57">
        <v>-450100</v>
      </c>
      <c r="F25" s="118">
        <v>-110500</v>
      </c>
      <c r="G25" s="119">
        <v>3300500</v>
      </c>
      <c r="H25" s="2"/>
      <c r="I25" s="39">
        <v>-2803726910616</v>
      </c>
      <c r="J25" s="41">
        <v>-450100</v>
      </c>
      <c r="K25" s="41">
        <v>-110500</v>
      </c>
      <c r="L25" s="41">
        <v>3300500</v>
      </c>
      <c r="N25" s="1" t="s">
        <v>226</v>
      </c>
    </row>
    <row r="26" spans="1:21" ht="13.8">
      <c r="A26" s="2"/>
      <c r="B26" s="120"/>
      <c r="C26" s="2" t="s">
        <v>167</v>
      </c>
      <c r="D26" s="121">
        <v>528212898147</v>
      </c>
      <c r="E26" s="29">
        <v>-81947586029.977173</v>
      </c>
      <c r="F26" s="29">
        <v>1933786313257.8633</v>
      </c>
      <c r="G26" s="29">
        <v>4370634387757.3545</v>
      </c>
      <c r="H26" s="122"/>
      <c r="I26" s="123">
        <v>528212898147</v>
      </c>
      <c r="J26" s="123">
        <v>-81947586029.977173</v>
      </c>
      <c r="K26" s="124">
        <v>1933786313257.8633</v>
      </c>
      <c r="L26" s="125">
        <v>4370634387757.3545</v>
      </c>
      <c r="M26" s="126"/>
      <c r="N26" s="1" t="s">
        <v>227</v>
      </c>
      <c r="O26" s="126"/>
      <c r="P26" s="126"/>
      <c r="Q26" s="126"/>
      <c r="R26" s="126"/>
      <c r="S26" s="126"/>
      <c r="T26" s="126"/>
      <c r="U26" s="126"/>
    </row>
    <row r="27" spans="1:21" ht="13.8">
      <c r="A27" s="2"/>
      <c r="B27" s="120"/>
      <c r="C27" s="2" t="s">
        <v>228</v>
      </c>
      <c r="D27" s="127">
        <v>-174178273413</v>
      </c>
      <c r="E27" s="118">
        <v>1550450</v>
      </c>
      <c r="F27" s="118">
        <v>1750200</v>
      </c>
      <c r="G27" s="119">
        <v>1950100</v>
      </c>
      <c r="H27" s="128"/>
      <c r="I27" s="123">
        <v>-174178273413</v>
      </c>
      <c r="J27" s="129">
        <v>1550450</v>
      </c>
      <c r="K27" s="130">
        <v>1750200</v>
      </c>
      <c r="L27" s="131">
        <v>1950100</v>
      </c>
      <c r="M27" s="126"/>
      <c r="N27" s="126"/>
      <c r="O27" s="126"/>
      <c r="P27" s="126"/>
      <c r="Q27" s="126"/>
      <c r="R27" s="126"/>
      <c r="S27" s="126"/>
      <c r="T27" s="126"/>
      <c r="U27" s="126"/>
    </row>
    <row r="28" spans="1:21" ht="13.8">
      <c r="A28" s="2"/>
      <c r="B28" s="120"/>
      <c r="C28" s="2" t="s">
        <v>229</v>
      </c>
      <c r="D28" s="132">
        <v>-3157761535350</v>
      </c>
      <c r="E28" s="118">
        <v>-395318</v>
      </c>
      <c r="F28" s="118">
        <v>-741695</v>
      </c>
      <c r="G28" s="119">
        <v>-998651</v>
      </c>
      <c r="H28" s="128"/>
      <c r="I28" s="123">
        <v>-3157761535350</v>
      </c>
      <c r="J28" s="129">
        <v>-395318</v>
      </c>
      <c r="K28" s="130">
        <v>-741695</v>
      </c>
      <c r="L28" s="131">
        <v>-998651</v>
      </c>
      <c r="M28" s="126"/>
      <c r="N28" s="126"/>
      <c r="O28" s="126"/>
      <c r="P28" s="126"/>
      <c r="Q28" s="126"/>
      <c r="R28" s="126"/>
      <c r="S28" s="126"/>
      <c r="T28" s="126"/>
      <c r="U28" s="126"/>
    </row>
    <row r="29" spans="1:21" ht="15">
      <c r="A29" s="2"/>
      <c r="B29" s="107" t="s">
        <v>230</v>
      </c>
      <c r="C29" s="23"/>
      <c r="D29" s="132">
        <v>1054290180</v>
      </c>
      <c r="E29" s="118">
        <v>1200</v>
      </c>
      <c r="F29" s="118">
        <v>1250</v>
      </c>
      <c r="G29" s="119">
        <v>1300</v>
      </c>
      <c r="H29" s="133"/>
      <c r="I29" s="123">
        <v>1054290180</v>
      </c>
      <c r="J29" s="129">
        <v>1200</v>
      </c>
      <c r="K29" s="134">
        <v>1250</v>
      </c>
      <c r="L29" s="131">
        <v>1300</v>
      </c>
      <c r="M29" s="126"/>
      <c r="N29" s="126"/>
      <c r="O29" s="126"/>
      <c r="P29" s="126"/>
      <c r="Q29" s="126"/>
      <c r="R29" s="126"/>
      <c r="S29" s="126"/>
      <c r="T29" s="126"/>
      <c r="U29" s="126"/>
    </row>
    <row r="30" spans="1:21" ht="13.8">
      <c r="A30" s="2"/>
      <c r="B30" s="107" t="s">
        <v>231</v>
      </c>
      <c r="C30" s="23"/>
      <c r="D30" s="117">
        <v>58425472769</v>
      </c>
      <c r="E30" s="57">
        <v>60000</v>
      </c>
      <c r="F30" s="118">
        <v>65000</v>
      </c>
      <c r="G30" s="119">
        <v>70000</v>
      </c>
      <c r="H30" s="122"/>
      <c r="I30" s="123">
        <v>58425472769</v>
      </c>
      <c r="J30" s="129">
        <v>60000</v>
      </c>
      <c r="K30" s="135">
        <v>65000</v>
      </c>
      <c r="L30" s="131">
        <v>70000</v>
      </c>
      <c r="M30" s="126"/>
      <c r="N30" s="126"/>
      <c r="O30" s="126"/>
      <c r="P30" s="126"/>
      <c r="Q30" s="126"/>
      <c r="R30" s="126"/>
      <c r="S30" s="126"/>
      <c r="T30" s="126"/>
      <c r="U30" s="126"/>
    </row>
    <row r="31" spans="1:21" ht="13.8">
      <c r="A31" s="2"/>
      <c r="B31" s="107" t="s">
        <v>232</v>
      </c>
      <c r="C31" s="23"/>
      <c r="D31" s="132">
        <v>-157846794510</v>
      </c>
      <c r="E31" s="118">
        <v>-190000</v>
      </c>
      <c r="F31" s="118">
        <v>-200000</v>
      </c>
      <c r="G31" s="119">
        <v>-210000</v>
      </c>
      <c r="H31" s="122"/>
      <c r="I31" s="123">
        <v>-157846794510</v>
      </c>
      <c r="J31" s="129">
        <v>-190000</v>
      </c>
      <c r="K31" s="135">
        <v>-200000</v>
      </c>
      <c r="L31" s="131">
        <v>-210000</v>
      </c>
      <c r="M31" s="126"/>
      <c r="N31" s="126"/>
      <c r="O31" s="126"/>
      <c r="P31" s="126"/>
      <c r="Q31" s="126"/>
      <c r="R31" s="126"/>
      <c r="S31" s="126"/>
      <c r="T31" s="126"/>
      <c r="U31" s="126"/>
    </row>
    <row r="32" spans="1:21" ht="13.8">
      <c r="A32" s="2"/>
      <c r="B32" s="107" t="s">
        <v>233</v>
      </c>
      <c r="C32" s="23"/>
      <c r="D32" s="132">
        <v>-2480523386</v>
      </c>
      <c r="E32" s="118">
        <v>-3515</v>
      </c>
      <c r="F32" s="118">
        <v>-1620</v>
      </c>
      <c r="G32" s="119">
        <v>-11590</v>
      </c>
      <c r="H32" s="128"/>
      <c r="I32" s="136">
        <v>-2480523386</v>
      </c>
      <c r="J32" s="137">
        <v>-3515</v>
      </c>
      <c r="K32" s="130">
        <v>-1620</v>
      </c>
      <c r="L32" s="131">
        <v>-11590</v>
      </c>
      <c r="M32" s="126"/>
      <c r="N32" s="126"/>
      <c r="O32" s="126"/>
      <c r="P32" s="126"/>
      <c r="Q32" s="126"/>
      <c r="R32" s="126"/>
      <c r="S32" s="126"/>
      <c r="T32" s="126"/>
      <c r="U32" s="126"/>
    </row>
    <row r="33" spans="1:21" ht="13.8">
      <c r="A33" s="2"/>
      <c r="B33" s="104" t="s">
        <v>234</v>
      </c>
      <c r="C33" s="114"/>
      <c r="D33" s="138">
        <v>-1110137903663</v>
      </c>
      <c r="E33" s="139">
        <v>-1350250</v>
      </c>
      <c r="F33" s="139">
        <v>-1385400</v>
      </c>
      <c r="G33" s="140">
        <v>-1420500</v>
      </c>
      <c r="H33" s="122"/>
      <c r="I33" s="123">
        <v>-1110137903663</v>
      </c>
      <c r="J33" s="129">
        <v>-1350250</v>
      </c>
      <c r="K33" s="135">
        <v>-1385400</v>
      </c>
      <c r="L33" s="131">
        <v>-1420500</v>
      </c>
      <c r="M33" s="126"/>
      <c r="N33" s="126"/>
      <c r="O33" s="126"/>
      <c r="P33" s="126"/>
      <c r="Q33" s="126"/>
      <c r="R33" s="126"/>
      <c r="S33" s="126"/>
      <c r="T33" s="126"/>
      <c r="U33" s="126"/>
    </row>
    <row r="34" spans="1:21" ht="13.8">
      <c r="A34" s="2"/>
      <c r="B34" s="107" t="s">
        <v>235</v>
      </c>
      <c r="C34" s="23"/>
      <c r="D34" s="132">
        <v>387323451101</v>
      </c>
      <c r="E34" s="118">
        <v>250000</v>
      </c>
      <c r="F34" s="118">
        <v>260000</v>
      </c>
      <c r="G34" s="119">
        <v>270000</v>
      </c>
      <c r="H34" s="122"/>
      <c r="I34" s="123">
        <v>387323451101</v>
      </c>
      <c r="J34" s="129">
        <v>250000</v>
      </c>
      <c r="K34" s="131">
        <v>260000</v>
      </c>
      <c r="L34" s="131">
        <v>270000</v>
      </c>
      <c r="M34" s="126"/>
      <c r="N34" s="126"/>
      <c r="O34" s="126"/>
      <c r="P34" s="126"/>
      <c r="Q34" s="126"/>
      <c r="R34" s="126"/>
      <c r="S34" s="126"/>
      <c r="T34" s="126"/>
      <c r="U34" s="126"/>
    </row>
    <row r="35" spans="1:21" ht="13.8">
      <c r="A35" s="2"/>
      <c r="B35" s="107"/>
      <c r="C35" s="2" t="s">
        <v>236</v>
      </c>
      <c r="D35" s="132">
        <v>214699510064</v>
      </c>
      <c r="E35" s="118">
        <v>150000</v>
      </c>
      <c r="F35" s="118">
        <v>155000</v>
      </c>
      <c r="G35" s="119">
        <v>160000</v>
      </c>
      <c r="H35" s="2"/>
      <c r="I35" s="123">
        <v>214699510064</v>
      </c>
      <c r="J35" s="129">
        <v>150000</v>
      </c>
      <c r="K35" s="131">
        <v>155000</v>
      </c>
      <c r="L35" s="131">
        <v>160000</v>
      </c>
      <c r="M35" s="126"/>
      <c r="N35" s="126"/>
      <c r="O35" s="126"/>
      <c r="P35" s="126"/>
      <c r="Q35" s="126"/>
      <c r="R35" s="126"/>
      <c r="S35" s="126"/>
      <c r="T35" s="126"/>
      <c r="U35" s="126"/>
    </row>
    <row r="36" spans="1:21" ht="13.8">
      <c r="A36" s="2"/>
      <c r="B36" s="107"/>
      <c r="C36" s="1" t="s">
        <v>237</v>
      </c>
      <c r="D36" s="141">
        <v>319000000</v>
      </c>
      <c r="E36" s="141">
        <v>319000000</v>
      </c>
      <c r="F36" s="141">
        <v>319000000</v>
      </c>
      <c r="G36" s="142">
        <v>319000000</v>
      </c>
      <c r="H36" s="2"/>
      <c r="I36" s="123">
        <v>319000000</v>
      </c>
      <c r="J36" s="123">
        <v>319000000</v>
      </c>
      <c r="K36" s="125">
        <v>319000000</v>
      </c>
      <c r="L36" s="125">
        <v>319000000</v>
      </c>
      <c r="M36" s="126"/>
      <c r="N36" s="126"/>
      <c r="O36" s="126"/>
      <c r="P36" s="126"/>
      <c r="Q36" s="126"/>
      <c r="R36" s="126"/>
      <c r="S36" s="126"/>
      <c r="T36" s="126"/>
      <c r="U36" s="126"/>
    </row>
    <row r="37" spans="1:21" ht="13.8">
      <c r="A37" s="2"/>
      <c r="B37" s="11"/>
      <c r="C37" s="2" t="s">
        <v>238</v>
      </c>
      <c r="D37" s="132">
        <v>506241811</v>
      </c>
      <c r="E37" s="127">
        <v>506241811</v>
      </c>
      <c r="F37" s="127">
        <v>506241811</v>
      </c>
      <c r="G37" s="143">
        <v>506241811</v>
      </c>
      <c r="H37" s="132"/>
      <c r="I37" s="39">
        <v>506241811</v>
      </c>
      <c r="J37" s="39">
        <v>506241811</v>
      </c>
      <c r="K37" s="125">
        <v>506241811</v>
      </c>
      <c r="L37" s="125">
        <v>506241811</v>
      </c>
      <c r="M37" s="126"/>
      <c r="N37" s="126"/>
      <c r="O37" s="126"/>
      <c r="P37" s="126"/>
      <c r="Q37" s="126"/>
      <c r="R37" s="126"/>
      <c r="S37" s="126"/>
      <c r="T37" s="126"/>
      <c r="U37" s="126"/>
    </row>
    <row r="38" spans="1:21" ht="13.8">
      <c r="A38" s="2"/>
      <c r="B38" s="107"/>
      <c r="C38" s="2" t="s">
        <v>239</v>
      </c>
      <c r="D38" s="117">
        <v>0</v>
      </c>
      <c r="E38" s="144">
        <v>0</v>
      </c>
      <c r="F38" s="3">
        <v>0</v>
      </c>
      <c r="G38" s="145">
        <v>0</v>
      </c>
      <c r="H38" s="2"/>
      <c r="I38" s="39">
        <v>0</v>
      </c>
      <c r="J38" s="41">
        <v>0</v>
      </c>
      <c r="K38" s="126">
        <v>0</v>
      </c>
      <c r="L38" s="126">
        <v>0</v>
      </c>
      <c r="M38" s="126"/>
      <c r="N38" s="126"/>
      <c r="O38" s="126"/>
      <c r="P38" s="126"/>
      <c r="Q38" s="126"/>
      <c r="R38" s="126"/>
      <c r="S38" s="126"/>
      <c r="T38" s="126"/>
      <c r="U38" s="126"/>
    </row>
    <row r="39" spans="1:21" ht="13.8">
      <c r="A39" s="2"/>
      <c r="B39" s="107"/>
      <c r="C39" s="2" t="s">
        <v>240</v>
      </c>
      <c r="D39" s="146">
        <v>0</v>
      </c>
      <c r="E39" s="118">
        <v>0</v>
      </c>
      <c r="F39" s="3">
        <v>0</v>
      </c>
      <c r="G39" s="145">
        <v>0</v>
      </c>
      <c r="H39" s="2"/>
      <c r="I39" s="39">
        <v>0</v>
      </c>
      <c r="J39" s="41">
        <v>0</v>
      </c>
      <c r="K39" s="1">
        <v>0</v>
      </c>
      <c r="L39" s="1">
        <v>0</v>
      </c>
    </row>
    <row r="40" spans="1:21" ht="13.8">
      <c r="A40" s="2"/>
      <c r="B40" s="11"/>
      <c r="C40" s="147" t="s">
        <v>241</v>
      </c>
      <c r="D40" s="146">
        <v>0</v>
      </c>
      <c r="E40" s="1">
        <v>0</v>
      </c>
      <c r="F40" s="3">
        <v>0</v>
      </c>
      <c r="G40" s="145">
        <v>0</v>
      </c>
      <c r="H40" s="2"/>
      <c r="I40" s="39">
        <v>0</v>
      </c>
      <c r="J40" s="1">
        <v>0</v>
      </c>
      <c r="K40" s="1">
        <v>0</v>
      </c>
      <c r="L40" s="1">
        <v>0</v>
      </c>
    </row>
    <row r="41" spans="1:21" ht="13.8">
      <c r="A41" s="2"/>
      <c r="B41" s="107"/>
      <c r="C41" s="2" t="s">
        <v>242</v>
      </c>
      <c r="D41" s="117">
        <v>168277744640</v>
      </c>
      <c r="E41" s="3">
        <v>0</v>
      </c>
      <c r="F41" s="3">
        <v>0</v>
      </c>
      <c r="G41" s="145">
        <v>0</v>
      </c>
      <c r="H41" s="2"/>
      <c r="I41" s="39">
        <v>168277744640</v>
      </c>
      <c r="J41" s="1">
        <v>0</v>
      </c>
      <c r="K41" s="1">
        <v>0</v>
      </c>
      <c r="L41" s="1">
        <v>0</v>
      </c>
    </row>
    <row r="42" spans="1:21" ht="13.8">
      <c r="A42" s="2"/>
      <c r="B42" s="107"/>
      <c r="C42" s="147" t="s">
        <v>243</v>
      </c>
      <c r="D42" s="132">
        <v>1370609131</v>
      </c>
      <c r="E42" s="118">
        <v>5000</v>
      </c>
      <c r="F42" s="118">
        <v>5000</v>
      </c>
      <c r="G42" s="119">
        <v>5000</v>
      </c>
      <c r="H42" s="2"/>
      <c r="I42" s="39">
        <v>1370609131</v>
      </c>
      <c r="J42" s="41">
        <v>5000</v>
      </c>
      <c r="K42" s="41">
        <v>5000</v>
      </c>
      <c r="L42" s="41">
        <v>5000</v>
      </c>
    </row>
    <row r="43" spans="1:21" ht="13.8">
      <c r="A43" s="2"/>
      <c r="B43" s="107"/>
      <c r="C43" s="147" t="s">
        <v>244</v>
      </c>
      <c r="D43" s="117">
        <v>685345455</v>
      </c>
      <c r="E43" s="144">
        <v>0</v>
      </c>
      <c r="F43" s="3">
        <v>0</v>
      </c>
      <c r="G43" s="145">
        <v>0</v>
      </c>
      <c r="H43" s="2"/>
      <c r="I43" s="39">
        <v>685345455</v>
      </c>
      <c r="J43" s="41">
        <v>0</v>
      </c>
      <c r="K43" s="1">
        <v>0</v>
      </c>
      <c r="L43" s="1">
        <v>0</v>
      </c>
    </row>
    <row r="44" spans="1:21" ht="13.8">
      <c r="A44" s="2"/>
      <c r="B44" s="107"/>
      <c r="C44" s="147" t="s">
        <v>245</v>
      </c>
      <c r="D44" s="132">
        <v>1465000000</v>
      </c>
      <c r="E44" s="118">
        <v>0</v>
      </c>
      <c r="F44" s="3">
        <v>0</v>
      </c>
      <c r="G44" s="145">
        <v>0</v>
      </c>
      <c r="H44" s="2"/>
      <c r="I44" s="39">
        <v>1465000000</v>
      </c>
      <c r="J44" s="41">
        <v>0</v>
      </c>
      <c r="K44" s="1">
        <v>0</v>
      </c>
      <c r="L44" s="1">
        <v>0</v>
      </c>
    </row>
    <row r="45" spans="1:21" ht="13.8">
      <c r="A45" s="2"/>
      <c r="B45" s="104" t="s">
        <v>246</v>
      </c>
      <c r="C45" s="114"/>
      <c r="D45" s="138">
        <v>-1497461354764</v>
      </c>
      <c r="E45" s="139">
        <v>-1600250</v>
      </c>
      <c r="F45" s="139">
        <v>-1645400</v>
      </c>
      <c r="G45" s="140">
        <v>-1690500</v>
      </c>
      <c r="H45" s="2"/>
      <c r="I45" s="39">
        <v>-1497461354764</v>
      </c>
      <c r="J45" s="41">
        <v>-1600250</v>
      </c>
      <c r="K45" s="41">
        <v>-1645400</v>
      </c>
      <c r="L45" s="41">
        <v>-1690500</v>
      </c>
    </row>
    <row r="46" spans="1:21" ht="13.8">
      <c r="A46" s="2"/>
      <c r="B46" s="107"/>
      <c r="C46" s="2" t="s">
        <v>247</v>
      </c>
      <c r="D46" s="132">
        <v>104128059294</v>
      </c>
      <c r="E46" s="118">
        <v>150000</v>
      </c>
      <c r="F46" s="118">
        <v>160000</v>
      </c>
      <c r="G46" s="119">
        <v>170000</v>
      </c>
      <c r="H46" s="2"/>
      <c r="I46" s="39">
        <v>104128059294</v>
      </c>
      <c r="J46" s="41">
        <v>150000</v>
      </c>
      <c r="K46" s="41">
        <v>160000</v>
      </c>
      <c r="L46" s="41">
        <v>170000</v>
      </c>
    </row>
    <row r="47" spans="1:21" ht="13.8">
      <c r="A47" s="2"/>
      <c r="B47" s="11"/>
      <c r="C47" s="2" t="s">
        <v>248</v>
      </c>
      <c r="D47" s="132">
        <v>2344648286</v>
      </c>
      <c r="E47" s="118">
        <v>0</v>
      </c>
      <c r="F47" s="3">
        <v>0</v>
      </c>
      <c r="G47" s="145">
        <v>0</v>
      </c>
      <c r="H47" s="2"/>
      <c r="I47" s="39">
        <v>2344648286</v>
      </c>
      <c r="J47" s="41">
        <v>0</v>
      </c>
      <c r="K47" s="1">
        <v>0</v>
      </c>
      <c r="L47" s="1">
        <v>0</v>
      </c>
    </row>
    <row r="48" spans="1:21" ht="13.8">
      <c r="A48" s="2"/>
      <c r="B48" s="11"/>
      <c r="C48" s="2" t="s">
        <v>249</v>
      </c>
      <c r="D48" s="132">
        <v>38665695600</v>
      </c>
      <c r="E48" s="3">
        <v>0</v>
      </c>
      <c r="F48" s="3">
        <v>0</v>
      </c>
      <c r="G48" s="145">
        <v>0</v>
      </c>
      <c r="H48" s="2"/>
      <c r="I48" s="39">
        <v>38665695600</v>
      </c>
      <c r="J48" s="1">
        <v>0</v>
      </c>
      <c r="K48" s="1">
        <v>0</v>
      </c>
      <c r="L48" s="1">
        <v>0</v>
      </c>
    </row>
    <row r="49" spans="1:12" ht="13.8">
      <c r="A49" s="2"/>
      <c r="B49" s="107"/>
      <c r="C49" s="2" t="s">
        <v>250</v>
      </c>
      <c r="D49" s="117">
        <v>235667893900</v>
      </c>
      <c r="E49" s="148">
        <v>0</v>
      </c>
      <c r="F49" s="3">
        <v>0</v>
      </c>
      <c r="G49" s="145">
        <v>0</v>
      </c>
      <c r="H49" s="2"/>
      <c r="I49" s="39">
        <v>235667893900</v>
      </c>
      <c r="J49" s="1">
        <v>0</v>
      </c>
      <c r="K49" s="1">
        <v>0</v>
      </c>
      <c r="L49" s="1">
        <v>0</v>
      </c>
    </row>
    <row r="50" spans="1:12" ht="13.8">
      <c r="A50" s="2"/>
      <c r="B50" s="107"/>
      <c r="C50" s="149" t="s">
        <v>251</v>
      </c>
      <c r="D50" s="132">
        <v>373640224794</v>
      </c>
      <c r="E50" s="118">
        <v>1341000</v>
      </c>
      <c r="F50" s="118">
        <v>1368000</v>
      </c>
      <c r="G50" s="119">
        <v>1408000</v>
      </c>
      <c r="H50" s="2"/>
      <c r="I50" s="39">
        <v>373640224794</v>
      </c>
      <c r="J50" s="41">
        <v>1341000</v>
      </c>
      <c r="K50" s="41">
        <v>1368000</v>
      </c>
      <c r="L50" s="41">
        <v>1408000</v>
      </c>
    </row>
    <row r="51" spans="1:12" ht="13.8">
      <c r="A51" s="2"/>
      <c r="B51" s="11"/>
      <c r="C51" s="149" t="s">
        <v>252</v>
      </c>
      <c r="D51" s="117">
        <v>5743865094</v>
      </c>
      <c r="E51" s="144">
        <v>40000</v>
      </c>
      <c r="F51" s="118">
        <v>40000</v>
      </c>
      <c r="G51" s="119">
        <v>40000</v>
      </c>
      <c r="H51" s="2"/>
      <c r="I51" s="39">
        <v>5743865094</v>
      </c>
      <c r="J51" s="41">
        <v>40000</v>
      </c>
      <c r="K51" s="41">
        <v>40000</v>
      </c>
      <c r="L51" s="41">
        <v>40000</v>
      </c>
    </row>
    <row r="52" spans="1:12" ht="13.8">
      <c r="A52" s="2"/>
      <c r="B52" s="11"/>
      <c r="C52" s="150" t="s">
        <v>253</v>
      </c>
      <c r="D52" s="117">
        <v>179394424415</v>
      </c>
      <c r="E52" s="148">
        <v>0</v>
      </c>
      <c r="F52" s="3">
        <v>0</v>
      </c>
      <c r="G52" s="145">
        <v>0</v>
      </c>
      <c r="H52" s="2"/>
      <c r="I52" s="39">
        <v>179394424415</v>
      </c>
      <c r="J52" s="1">
        <v>0</v>
      </c>
      <c r="K52" s="1">
        <v>0</v>
      </c>
      <c r="L52" s="1">
        <v>0</v>
      </c>
    </row>
    <row r="53" spans="1:12" ht="13.8">
      <c r="A53" s="2"/>
      <c r="B53" s="107"/>
      <c r="C53" s="151" t="s">
        <v>254</v>
      </c>
      <c r="D53" s="132">
        <v>156780191711</v>
      </c>
      <c r="E53" s="118">
        <v>0</v>
      </c>
      <c r="F53" s="118">
        <v>0</v>
      </c>
      <c r="G53" s="119">
        <v>0</v>
      </c>
      <c r="H53" s="2"/>
      <c r="I53" s="39">
        <v>156780191711</v>
      </c>
      <c r="J53" s="41">
        <v>-119250</v>
      </c>
      <c r="K53" s="41">
        <v>-137400</v>
      </c>
      <c r="L53" s="41">
        <v>-142500</v>
      </c>
    </row>
    <row r="54" spans="1:12" ht="13.8">
      <c r="A54" s="2"/>
      <c r="B54" s="152"/>
      <c r="C54" s="149" t="s">
        <v>255</v>
      </c>
      <c r="D54" s="132">
        <v>477371201</v>
      </c>
      <c r="E54" s="57">
        <v>-1500</v>
      </c>
      <c r="F54" s="118">
        <v>-1500</v>
      </c>
      <c r="G54" s="119">
        <v>-1500</v>
      </c>
      <c r="H54" s="2"/>
      <c r="I54" s="39">
        <v>477371201</v>
      </c>
      <c r="J54" s="41">
        <v>-1500</v>
      </c>
      <c r="K54" s="41">
        <v>-1500</v>
      </c>
      <c r="L54" s="41">
        <v>-1500</v>
      </c>
    </row>
    <row r="55" spans="1:12" ht="13.8">
      <c r="A55" s="2"/>
      <c r="B55" s="152"/>
      <c r="C55" s="149" t="s">
        <v>256</v>
      </c>
      <c r="D55" s="132">
        <v>597339745</v>
      </c>
      <c r="E55" s="118">
        <v>0</v>
      </c>
      <c r="F55" s="3">
        <v>0</v>
      </c>
      <c r="G55" s="145">
        <v>0</v>
      </c>
      <c r="H55" s="2"/>
      <c r="I55" s="39">
        <v>597339745</v>
      </c>
      <c r="J55" s="41">
        <v>0</v>
      </c>
      <c r="K55" s="1">
        <v>0</v>
      </c>
      <c r="L55" s="1">
        <v>0</v>
      </c>
    </row>
    <row r="56" spans="1:12" ht="13.8">
      <c r="A56" s="2"/>
      <c r="B56" s="152"/>
      <c r="C56" s="149" t="s">
        <v>257</v>
      </c>
      <c r="D56" s="117">
        <v>400021640724</v>
      </c>
      <c r="E56" s="153">
        <v>-11300</v>
      </c>
      <c r="F56" s="154">
        <v>0</v>
      </c>
      <c r="G56" s="155">
        <v>0</v>
      </c>
      <c r="H56" s="2"/>
      <c r="I56" s="39">
        <v>400021640724</v>
      </c>
      <c r="J56" s="41">
        <v>-11300</v>
      </c>
      <c r="K56" s="1">
        <v>0</v>
      </c>
      <c r="L56" s="1">
        <v>0</v>
      </c>
    </row>
    <row r="57" spans="1:12" ht="13.8">
      <c r="A57" s="2"/>
      <c r="B57" s="152"/>
      <c r="C57" s="1" t="s">
        <v>258</v>
      </c>
      <c r="D57" s="127">
        <v>0</v>
      </c>
      <c r="E57" s="156">
        <v>0</v>
      </c>
      <c r="F57" s="157">
        <v>0</v>
      </c>
      <c r="G57" s="158">
        <v>0</v>
      </c>
      <c r="H57" s="2"/>
      <c r="I57" s="39">
        <v>0</v>
      </c>
      <c r="J57" s="41">
        <v>0</v>
      </c>
      <c r="K57" s="1">
        <v>0</v>
      </c>
      <c r="L57" s="1">
        <v>0</v>
      </c>
    </row>
    <row r="58" spans="1:12" ht="13.8">
      <c r="A58" s="2"/>
      <c r="B58" s="104" t="s">
        <v>259</v>
      </c>
      <c r="C58" s="114"/>
      <c r="D58" s="138">
        <v>2803001077610</v>
      </c>
      <c r="E58" s="139">
        <v>1850300</v>
      </c>
      <c r="F58" s="139">
        <v>1500250</v>
      </c>
      <c r="G58" s="140">
        <v>-1000500</v>
      </c>
      <c r="H58" s="2"/>
      <c r="I58" s="39">
        <v>2803001077610</v>
      </c>
      <c r="J58" s="41">
        <v>1850300</v>
      </c>
      <c r="K58" s="41">
        <v>1500250</v>
      </c>
      <c r="L58" s="41">
        <v>-1000500</v>
      </c>
    </row>
    <row r="59" spans="1:12" ht="13.8">
      <c r="A59" s="2"/>
      <c r="B59" s="107" t="s">
        <v>260</v>
      </c>
      <c r="C59" s="23"/>
      <c r="D59" s="132">
        <v>2939393664771</v>
      </c>
      <c r="E59" s="118">
        <v>2500000</v>
      </c>
      <c r="F59" s="118">
        <v>2200000</v>
      </c>
      <c r="G59" s="119">
        <v>1500000</v>
      </c>
      <c r="H59" s="2"/>
      <c r="I59" s="39">
        <v>2939393664771</v>
      </c>
      <c r="J59" s="41">
        <v>2500000</v>
      </c>
      <c r="K59" s="41">
        <v>2200000</v>
      </c>
      <c r="L59" s="41">
        <v>1500000</v>
      </c>
    </row>
    <row r="60" spans="1:12" ht="13.8">
      <c r="A60" s="2"/>
      <c r="B60" s="107"/>
      <c r="C60" s="2" t="s">
        <v>261</v>
      </c>
      <c r="D60" s="132">
        <v>2530475445001</v>
      </c>
      <c r="E60" s="118">
        <v>1000000</v>
      </c>
      <c r="F60" s="118">
        <v>800000</v>
      </c>
      <c r="G60" s="119">
        <v>500000</v>
      </c>
      <c r="H60" s="2"/>
      <c r="I60" s="39">
        <v>2530475445001</v>
      </c>
      <c r="J60" s="41">
        <v>1000000</v>
      </c>
      <c r="K60" s="41">
        <v>800000</v>
      </c>
      <c r="L60" s="41">
        <v>500000</v>
      </c>
    </row>
    <row r="61" spans="1:12" ht="13.8">
      <c r="A61" s="2"/>
      <c r="B61" s="107"/>
      <c r="C61" s="2" t="s">
        <v>262</v>
      </c>
      <c r="D61" s="132">
        <v>166420945212</v>
      </c>
      <c r="E61" s="118">
        <v>1000000</v>
      </c>
      <c r="F61" s="118">
        <v>800000</v>
      </c>
      <c r="G61" s="119">
        <v>500000</v>
      </c>
      <c r="H61" s="2"/>
      <c r="I61" s="39">
        <v>166420945212</v>
      </c>
      <c r="J61" s="41">
        <v>1000000</v>
      </c>
      <c r="K61" s="41">
        <v>800000</v>
      </c>
      <c r="L61" s="41">
        <v>500000</v>
      </c>
    </row>
    <row r="62" spans="1:12" ht="13.8">
      <c r="A62" s="2"/>
      <c r="B62" s="107"/>
      <c r="C62" s="2" t="s">
        <v>263</v>
      </c>
      <c r="D62" s="132">
        <v>99578890000</v>
      </c>
      <c r="E62" s="118">
        <v>500000</v>
      </c>
      <c r="F62" s="118">
        <v>400000</v>
      </c>
      <c r="G62" s="119">
        <v>200000</v>
      </c>
      <c r="H62" s="2"/>
      <c r="I62" s="39">
        <v>99578890000</v>
      </c>
      <c r="J62" s="41">
        <v>500000</v>
      </c>
      <c r="K62" s="41">
        <v>400000</v>
      </c>
      <c r="L62" s="41">
        <v>200000</v>
      </c>
    </row>
    <row r="63" spans="1:12" ht="13.8">
      <c r="A63" s="2"/>
      <c r="B63" s="107"/>
      <c r="C63" s="2" t="s">
        <v>264</v>
      </c>
      <c r="D63" s="117">
        <v>108020000000</v>
      </c>
      <c r="E63" s="57">
        <v>1000000</v>
      </c>
      <c r="F63" s="118">
        <v>900000</v>
      </c>
      <c r="G63" s="119">
        <v>800000</v>
      </c>
      <c r="H63" s="2"/>
      <c r="I63" s="39">
        <v>108020000000</v>
      </c>
      <c r="J63" s="41">
        <v>1000000</v>
      </c>
      <c r="K63" s="41">
        <v>900000</v>
      </c>
      <c r="L63" s="41">
        <v>800000</v>
      </c>
    </row>
    <row r="64" spans="1:12" ht="13.8">
      <c r="A64" s="2"/>
      <c r="B64" s="107"/>
      <c r="C64" s="2" t="s">
        <v>265</v>
      </c>
      <c r="D64" s="117">
        <v>34298084558</v>
      </c>
      <c r="E64" s="159">
        <v>0</v>
      </c>
      <c r="F64" s="159">
        <v>0</v>
      </c>
      <c r="G64" s="158">
        <v>0</v>
      </c>
      <c r="H64" s="2"/>
      <c r="I64" s="39">
        <v>34298084558</v>
      </c>
      <c r="J64" s="1">
        <v>0</v>
      </c>
      <c r="K64" s="1">
        <v>0</v>
      </c>
      <c r="L64" s="1">
        <v>0</v>
      </c>
    </row>
    <row r="65" spans="1:12" ht="13.8">
      <c r="A65" s="2"/>
      <c r="B65" s="107"/>
      <c r="C65" s="2" t="s">
        <v>266</v>
      </c>
      <c r="D65" s="29">
        <v>0</v>
      </c>
      <c r="E65" s="160">
        <v>0</v>
      </c>
      <c r="F65" s="3">
        <v>0</v>
      </c>
      <c r="G65" s="145">
        <v>0</v>
      </c>
      <c r="H65" s="2"/>
      <c r="I65" s="39">
        <v>0</v>
      </c>
      <c r="J65" s="1">
        <v>0</v>
      </c>
      <c r="K65" s="1">
        <v>0</v>
      </c>
      <c r="L65" s="1">
        <v>0</v>
      </c>
    </row>
    <row r="66" spans="1:12" ht="13.8">
      <c r="A66" s="2"/>
      <c r="B66" s="11"/>
      <c r="C66" s="2" t="s">
        <v>267</v>
      </c>
      <c r="D66" s="117">
        <v>600300000</v>
      </c>
      <c r="E66" s="159">
        <v>0</v>
      </c>
      <c r="F66" s="157">
        <v>0</v>
      </c>
      <c r="G66" s="158">
        <v>0</v>
      </c>
      <c r="H66" s="2"/>
      <c r="I66" s="39">
        <v>600300000</v>
      </c>
      <c r="J66" s="1">
        <v>0</v>
      </c>
      <c r="K66" s="1">
        <v>0</v>
      </c>
      <c r="L66" s="1">
        <v>0</v>
      </c>
    </row>
    <row r="67" spans="1:12" ht="13.8">
      <c r="A67" s="2"/>
      <c r="B67" s="107" t="s">
        <v>268</v>
      </c>
      <c r="C67" s="23"/>
      <c r="D67" s="127">
        <v>-136392587161</v>
      </c>
      <c r="E67" s="156">
        <v>-649700</v>
      </c>
      <c r="F67" s="156">
        <v>-699750</v>
      </c>
      <c r="G67" s="161">
        <v>-2500500</v>
      </c>
      <c r="H67" s="2"/>
      <c r="I67" s="39">
        <v>-136392587161</v>
      </c>
      <c r="J67" s="41">
        <v>-649700</v>
      </c>
      <c r="K67" s="41">
        <v>-699750</v>
      </c>
      <c r="L67" s="41">
        <v>-2500500</v>
      </c>
    </row>
    <row r="68" spans="1:12" ht="13.8">
      <c r="A68" s="2"/>
      <c r="B68" s="107"/>
      <c r="C68" s="2" t="s">
        <v>269</v>
      </c>
      <c r="D68" s="132">
        <v>10475445001</v>
      </c>
      <c r="E68" s="118">
        <v>-500000</v>
      </c>
      <c r="F68" s="118">
        <v>-500000</v>
      </c>
      <c r="G68" s="119">
        <v>-500000</v>
      </c>
      <c r="H68" s="2"/>
      <c r="I68" s="39">
        <v>10475445001</v>
      </c>
      <c r="J68" s="41">
        <v>-500000</v>
      </c>
      <c r="K68" s="41">
        <v>-500000</v>
      </c>
      <c r="L68" s="41">
        <v>-500000</v>
      </c>
    </row>
    <row r="69" spans="1:12" ht="13.8">
      <c r="A69" s="2"/>
      <c r="B69" s="107"/>
      <c r="C69" s="2" t="s">
        <v>270</v>
      </c>
      <c r="D69" s="132">
        <v>20000000000</v>
      </c>
      <c r="E69" s="162">
        <v>-100000</v>
      </c>
      <c r="F69" s="118">
        <v>-150000</v>
      </c>
      <c r="G69" s="119">
        <v>-1900000</v>
      </c>
      <c r="H69" s="2"/>
      <c r="I69" s="39">
        <v>20000000000</v>
      </c>
      <c r="J69" s="41">
        <v>-100000</v>
      </c>
      <c r="K69" s="41">
        <v>-150000</v>
      </c>
      <c r="L69" s="41">
        <v>-1900000</v>
      </c>
    </row>
    <row r="70" spans="1:12" ht="13.8">
      <c r="A70" s="2"/>
      <c r="B70" s="107"/>
      <c r="C70" s="2" t="s">
        <v>271</v>
      </c>
      <c r="D70" s="132">
        <v>0</v>
      </c>
      <c r="E70" s="118">
        <v>0</v>
      </c>
      <c r="F70" s="3">
        <v>0</v>
      </c>
      <c r="G70" s="145">
        <v>0</v>
      </c>
      <c r="H70" s="2"/>
      <c r="I70" s="39">
        <v>0</v>
      </c>
      <c r="J70" s="41">
        <v>0</v>
      </c>
      <c r="K70" s="1">
        <v>0</v>
      </c>
      <c r="L70" s="1">
        <v>0</v>
      </c>
    </row>
    <row r="71" spans="1:12" ht="13.8">
      <c r="A71" s="2"/>
      <c r="B71" s="107"/>
      <c r="C71" s="2" t="s">
        <v>272</v>
      </c>
      <c r="D71" s="132">
        <v>42561949281</v>
      </c>
      <c r="E71" s="156">
        <v>0</v>
      </c>
      <c r="F71" s="157">
        <v>0</v>
      </c>
      <c r="G71" s="158">
        <v>0</v>
      </c>
      <c r="H71" s="2"/>
      <c r="I71" s="39">
        <v>42561949281</v>
      </c>
      <c r="J71" s="41">
        <v>0</v>
      </c>
      <c r="K71" s="1">
        <v>0</v>
      </c>
      <c r="L71" s="1">
        <v>0</v>
      </c>
    </row>
    <row r="72" spans="1:12" ht="13.8">
      <c r="A72" s="2"/>
      <c r="B72" s="107"/>
      <c r="C72" s="2" t="s">
        <v>273</v>
      </c>
      <c r="D72" s="117">
        <v>0</v>
      </c>
      <c r="E72" s="148">
        <v>0</v>
      </c>
      <c r="F72" s="3">
        <v>0</v>
      </c>
      <c r="G72" s="145">
        <v>0</v>
      </c>
      <c r="H72" s="2"/>
      <c r="I72" s="39">
        <v>0</v>
      </c>
      <c r="J72" s="1">
        <v>0</v>
      </c>
      <c r="K72" s="1">
        <v>0</v>
      </c>
      <c r="L72" s="1">
        <v>0</v>
      </c>
    </row>
    <row r="73" spans="1:12" ht="13.8">
      <c r="A73" s="2"/>
      <c r="B73" s="107"/>
      <c r="C73" s="2" t="s">
        <v>274</v>
      </c>
      <c r="D73" s="132">
        <v>39800349927</v>
      </c>
      <c r="E73" s="118">
        <v>-25000</v>
      </c>
      <c r="F73" s="118">
        <v>-25000</v>
      </c>
      <c r="G73" s="119">
        <v>-25000</v>
      </c>
      <c r="H73" s="2"/>
      <c r="I73" s="39">
        <v>39800349927</v>
      </c>
      <c r="J73" s="41">
        <v>-25000</v>
      </c>
      <c r="K73" s="41">
        <v>-25000</v>
      </c>
      <c r="L73" s="41">
        <v>-25000</v>
      </c>
    </row>
    <row r="74" spans="1:12" ht="13.2">
      <c r="A74" s="2"/>
      <c r="B74" s="107"/>
      <c r="C74" s="2" t="s">
        <v>275</v>
      </c>
      <c r="D74" s="29">
        <v>0</v>
      </c>
      <c r="E74" s="118">
        <v>0</v>
      </c>
      <c r="F74" s="118">
        <v>0</v>
      </c>
      <c r="G74" s="119">
        <v>0</v>
      </c>
      <c r="H74" s="2"/>
      <c r="I74" s="39">
        <v>0</v>
      </c>
      <c r="J74" s="41">
        <v>0</v>
      </c>
      <c r="K74" s="41">
        <v>0</v>
      </c>
      <c r="L74" s="41">
        <v>0</v>
      </c>
    </row>
    <row r="75" spans="1:12" ht="13.8">
      <c r="A75" s="2"/>
      <c r="B75" s="107"/>
      <c r="C75" s="2" t="s">
        <v>276</v>
      </c>
      <c r="D75" s="117">
        <v>23328322560</v>
      </c>
      <c r="E75" s="57">
        <v>-23328</v>
      </c>
      <c r="F75" s="118">
        <v>-23328</v>
      </c>
      <c r="G75" s="119">
        <v>-23328</v>
      </c>
      <c r="H75" s="2"/>
      <c r="I75" s="39">
        <v>23328322560</v>
      </c>
      <c r="J75" s="41">
        <v>-23328</v>
      </c>
      <c r="K75" s="41">
        <v>-23328</v>
      </c>
      <c r="L75" s="41">
        <v>-23328</v>
      </c>
    </row>
    <row r="76" spans="1:12" ht="13.8">
      <c r="A76" s="2"/>
      <c r="B76" s="107"/>
      <c r="C76" s="2" t="s">
        <v>277</v>
      </c>
      <c r="D76" s="117">
        <v>225523642</v>
      </c>
      <c r="E76" s="148">
        <v>0</v>
      </c>
      <c r="F76" s="148">
        <v>0</v>
      </c>
      <c r="G76" s="148">
        <v>0</v>
      </c>
      <c r="H76" s="2"/>
      <c r="I76" s="39">
        <v>225523642</v>
      </c>
      <c r="J76" s="1">
        <v>0</v>
      </c>
      <c r="K76" s="1">
        <v>0</v>
      </c>
      <c r="L76" s="1">
        <v>0</v>
      </c>
    </row>
    <row r="77" spans="1:12" ht="13.8">
      <c r="A77" s="2"/>
      <c r="B77" s="107"/>
      <c r="C77" s="2" t="s">
        <v>278</v>
      </c>
      <c r="D77" s="117">
        <v>-996750</v>
      </c>
      <c r="E77" s="148">
        <v>0</v>
      </c>
      <c r="F77" s="148">
        <v>0</v>
      </c>
      <c r="G77" s="148">
        <v>0</v>
      </c>
      <c r="H77" s="2"/>
      <c r="I77" s="39">
        <v>-996750</v>
      </c>
      <c r="J77" s="1">
        <v>0</v>
      </c>
      <c r="K77" s="1">
        <v>0</v>
      </c>
      <c r="L77" s="1">
        <v>0</v>
      </c>
    </row>
    <row r="78" spans="1:12" ht="13.8">
      <c r="A78" s="2"/>
      <c r="B78" s="104" t="s">
        <v>279</v>
      </c>
      <c r="C78" s="114"/>
      <c r="D78" s="163">
        <v>-1211711291616</v>
      </c>
      <c r="E78" s="164">
        <v>-82365</v>
      </c>
      <c r="F78" s="139">
        <v>-131020</v>
      </c>
      <c r="G78" s="140">
        <v>729210</v>
      </c>
      <c r="H78" s="2"/>
      <c r="I78" s="39">
        <v>-1211711291616</v>
      </c>
      <c r="J78" s="41">
        <v>-82365</v>
      </c>
      <c r="K78" s="41">
        <v>-131020</v>
      </c>
      <c r="L78" s="41">
        <v>729210</v>
      </c>
    </row>
    <row r="79" spans="1:12" ht="13.8">
      <c r="A79" s="2"/>
      <c r="B79" s="107"/>
      <c r="C79" s="165" t="s">
        <v>280</v>
      </c>
      <c r="D79" s="127">
        <v>1799307748627</v>
      </c>
      <c r="E79" s="118">
        <v>588260</v>
      </c>
      <c r="F79" s="118">
        <v>506558</v>
      </c>
      <c r="G79" s="119">
        <v>375538</v>
      </c>
      <c r="H79" s="2"/>
      <c r="I79" s="39">
        <v>1799307748627</v>
      </c>
      <c r="J79" s="41">
        <v>588260</v>
      </c>
      <c r="K79" s="41">
        <v>506558</v>
      </c>
      <c r="L79" s="41">
        <v>375538</v>
      </c>
    </row>
    <row r="80" spans="1:12" ht="13.8">
      <c r="A80" s="2"/>
      <c r="B80" s="107"/>
      <c r="C80" s="165" t="s">
        <v>281</v>
      </c>
      <c r="D80" s="132">
        <v>663278070</v>
      </c>
      <c r="E80" s="57">
        <v>663</v>
      </c>
      <c r="F80" s="3">
        <v>0</v>
      </c>
      <c r="G80" s="145">
        <v>0</v>
      </c>
      <c r="H80" s="2"/>
      <c r="I80" s="39">
        <v>663278070</v>
      </c>
      <c r="J80" s="41">
        <v>663</v>
      </c>
      <c r="K80" s="1">
        <v>0</v>
      </c>
      <c r="L80" s="1">
        <v>0</v>
      </c>
    </row>
    <row r="81" spans="1:12" ht="13.8">
      <c r="A81" s="2"/>
      <c r="B81" s="113"/>
      <c r="C81" s="166" t="s">
        <v>282</v>
      </c>
      <c r="D81" s="167">
        <v>588259735081</v>
      </c>
      <c r="E81" s="168">
        <v>506558</v>
      </c>
      <c r="F81" s="168">
        <v>375538</v>
      </c>
      <c r="G81" s="169">
        <v>1104748</v>
      </c>
      <c r="H81" s="2"/>
      <c r="I81" s="39">
        <v>588259735081</v>
      </c>
      <c r="J81" s="41">
        <v>506558</v>
      </c>
      <c r="K81" s="41">
        <v>375538</v>
      </c>
      <c r="L81" s="41">
        <v>1104748</v>
      </c>
    </row>
    <row r="82" spans="1:12" ht="13.2">
      <c r="A82" s="2"/>
      <c r="B82" s="2"/>
      <c r="C82" s="2"/>
      <c r="D82" s="3"/>
      <c r="E82" s="3"/>
      <c r="F82" s="3"/>
      <c r="G82" s="3"/>
      <c r="H82" s="2"/>
    </row>
    <row r="83" spans="1:12" ht="13.2">
      <c r="A83" s="2"/>
      <c r="B83" s="2"/>
      <c r="C83" s="2"/>
      <c r="D83" s="3"/>
      <c r="E83" s="3"/>
      <c r="F83" s="3"/>
      <c r="G83" s="3"/>
      <c r="H83" s="2"/>
    </row>
    <row r="84" spans="1:12" ht="13.2">
      <c r="A84" s="2"/>
      <c r="B84" s="2"/>
      <c r="C84" s="2"/>
      <c r="D84" s="3"/>
      <c r="E84" s="3"/>
      <c r="F84" s="3"/>
      <c r="G84" s="3"/>
      <c r="H84" s="2"/>
    </row>
    <row r="85" spans="1:12" ht="13.2">
      <c r="A85" s="2"/>
      <c r="B85" s="2"/>
      <c r="C85" s="2"/>
      <c r="D85" s="3"/>
      <c r="E85" s="3"/>
      <c r="F85" s="3"/>
      <c r="G85" s="3"/>
      <c r="H85" s="2"/>
    </row>
    <row r="86" spans="1:12" ht="13.2">
      <c r="A86" s="2"/>
      <c r="B86" s="2"/>
      <c r="C86" s="2"/>
      <c r="D86" s="3"/>
      <c r="E86" s="3"/>
      <c r="F86" s="3"/>
      <c r="G86" s="3"/>
      <c r="H86" s="2"/>
    </row>
    <row r="87" spans="1:12" ht="13.2">
      <c r="D87" s="3"/>
      <c r="E87" s="3"/>
      <c r="F87" s="3"/>
      <c r="G87" s="3"/>
    </row>
    <row r="88" spans="1:12" ht="13.2">
      <c r="D88" s="3"/>
      <c r="E88" s="3"/>
      <c r="F88" s="3"/>
      <c r="G88" s="3"/>
    </row>
    <row r="89" spans="1:12" ht="13.2">
      <c r="D89" s="3"/>
      <c r="E89" s="3"/>
      <c r="F89" s="3"/>
      <c r="G89" s="3"/>
    </row>
    <row r="90" spans="1:12" ht="13.2">
      <c r="D90" s="3"/>
      <c r="E90" s="3"/>
      <c r="F90" s="3"/>
      <c r="G90" s="3"/>
    </row>
    <row r="91" spans="1:12" ht="13.2">
      <c r="D91" s="3"/>
      <c r="E91" s="3"/>
      <c r="F91" s="3"/>
      <c r="G91" s="3"/>
    </row>
    <row r="92" spans="1:12" ht="13.2">
      <c r="D92" s="3"/>
      <c r="E92" s="3"/>
      <c r="F92" s="3"/>
      <c r="G92" s="3"/>
    </row>
    <row r="93" spans="1:12" ht="13.2">
      <c r="D93" s="3"/>
      <c r="E93" s="3"/>
      <c r="F93" s="3"/>
      <c r="G93" s="3"/>
    </row>
    <row r="94" spans="1:12" ht="13.2">
      <c r="D94" s="3"/>
      <c r="E94" s="3"/>
      <c r="F94" s="3"/>
      <c r="G94" s="3"/>
    </row>
    <row r="95" spans="1:12" ht="13.2">
      <c r="D95" s="3"/>
      <c r="E95" s="3"/>
      <c r="F95" s="3"/>
      <c r="G95" s="3"/>
    </row>
    <row r="96" spans="1:12" ht="13.2">
      <c r="D96" s="3"/>
      <c r="E96" s="3"/>
      <c r="F96" s="3"/>
      <c r="G96" s="3"/>
    </row>
    <row r="97" spans="4:7" ht="13.2">
      <c r="D97" s="3"/>
      <c r="E97" s="3"/>
      <c r="F97" s="3"/>
      <c r="G97" s="3"/>
    </row>
    <row r="98" spans="4:7" ht="13.2">
      <c r="D98" s="3"/>
      <c r="E98" s="3"/>
      <c r="F98" s="3"/>
      <c r="G98" s="3"/>
    </row>
    <row r="99" spans="4:7" ht="13.2">
      <c r="D99" s="3"/>
      <c r="E99" s="3"/>
      <c r="F99" s="3"/>
      <c r="G99" s="3"/>
    </row>
    <row r="100" spans="4:7" ht="13.2">
      <c r="D100" s="3"/>
      <c r="E100" s="3"/>
      <c r="F100" s="3"/>
      <c r="G100" s="3"/>
    </row>
    <row r="101" spans="4:7" ht="13.2">
      <c r="D101" s="3"/>
      <c r="E101" s="3"/>
      <c r="F101" s="3"/>
      <c r="G101" s="3"/>
    </row>
    <row r="102" spans="4:7" ht="13.2">
      <c r="D102" s="3"/>
      <c r="E102" s="3"/>
      <c r="F102" s="3"/>
      <c r="G102" s="3"/>
    </row>
    <row r="103" spans="4:7" ht="13.2">
      <c r="D103" s="3"/>
      <c r="E103" s="3"/>
      <c r="F103" s="3"/>
      <c r="G103" s="3"/>
    </row>
    <row r="104" spans="4:7" ht="13.2">
      <c r="D104" s="3"/>
      <c r="E104" s="3"/>
      <c r="F104" s="3"/>
      <c r="G104" s="3"/>
    </row>
    <row r="105" spans="4:7" ht="13.2">
      <c r="D105" s="3"/>
      <c r="E105" s="3"/>
      <c r="F105" s="3"/>
      <c r="G105" s="3"/>
    </row>
    <row r="106" spans="4:7" ht="13.2">
      <c r="D106" s="3"/>
      <c r="E106" s="3"/>
      <c r="F106" s="3"/>
      <c r="G106" s="3"/>
    </row>
    <row r="107" spans="4:7" ht="13.2">
      <c r="D107" s="3"/>
      <c r="E107" s="3"/>
      <c r="F107" s="3"/>
      <c r="G107" s="3"/>
    </row>
    <row r="108" spans="4:7" ht="13.2">
      <c r="D108" s="3"/>
      <c r="E108" s="3"/>
      <c r="F108" s="3"/>
      <c r="G108" s="3"/>
    </row>
    <row r="109" spans="4:7" ht="13.2">
      <c r="D109" s="3"/>
      <c r="E109" s="3"/>
      <c r="F109" s="3"/>
      <c r="G109" s="3"/>
    </row>
    <row r="110" spans="4:7" ht="13.2">
      <c r="D110" s="3"/>
      <c r="E110" s="3"/>
      <c r="F110" s="3"/>
      <c r="G110" s="3"/>
    </row>
    <row r="111" spans="4:7" ht="13.2">
      <c r="D111" s="3"/>
      <c r="E111" s="3"/>
      <c r="F111" s="3"/>
      <c r="G111" s="3"/>
    </row>
    <row r="112" spans="4:7" ht="13.2">
      <c r="D112" s="3"/>
      <c r="E112" s="3"/>
      <c r="F112" s="3"/>
      <c r="G112" s="3"/>
    </row>
    <row r="113" spans="4:7" ht="13.2">
      <c r="D113" s="3"/>
      <c r="E113" s="3"/>
      <c r="F113" s="3"/>
      <c r="G113" s="3"/>
    </row>
    <row r="114" spans="4:7" ht="13.2">
      <c r="D114" s="3"/>
      <c r="E114" s="3"/>
      <c r="F114" s="3"/>
      <c r="G114" s="3"/>
    </row>
    <row r="115" spans="4:7" ht="13.2">
      <c r="D115" s="3"/>
      <c r="E115" s="3"/>
      <c r="F115" s="3"/>
      <c r="G115" s="3"/>
    </row>
    <row r="116" spans="4:7" ht="13.2">
      <c r="D116" s="3"/>
      <c r="E116" s="3"/>
      <c r="F116" s="3"/>
      <c r="G116" s="3"/>
    </row>
    <row r="117" spans="4:7" ht="13.2">
      <c r="D117" s="3"/>
      <c r="E117" s="3"/>
      <c r="F117" s="3"/>
      <c r="G117" s="3"/>
    </row>
    <row r="118" spans="4:7" ht="13.2">
      <c r="D118" s="3"/>
      <c r="E118" s="3"/>
      <c r="F118" s="3"/>
      <c r="G118" s="3"/>
    </row>
    <row r="119" spans="4:7" ht="13.2">
      <c r="D119" s="3"/>
      <c r="E119" s="3"/>
      <c r="F119" s="3"/>
      <c r="G119" s="3"/>
    </row>
    <row r="120" spans="4:7" ht="13.2">
      <c r="D120" s="3"/>
      <c r="E120" s="3"/>
      <c r="F120" s="3"/>
      <c r="G120" s="3"/>
    </row>
    <row r="121" spans="4:7" ht="13.2">
      <c r="D121" s="3"/>
      <c r="E121" s="3"/>
      <c r="F121" s="3"/>
      <c r="G121" s="3"/>
    </row>
    <row r="122" spans="4:7" ht="13.2">
      <c r="D122" s="3"/>
      <c r="E122" s="3"/>
      <c r="F122" s="3"/>
      <c r="G122" s="3"/>
    </row>
    <row r="123" spans="4:7" ht="13.2">
      <c r="D123" s="3"/>
      <c r="E123" s="3"/>
      <c r="F123" s="3"/>
      <c r="G123" s="3"/>
    </row>
    <row r="124" spans="4:7" ht="13.2">
      <c r="D124" s="3"/>
      <c r="E124" s="3"/>
      <c r="F124" s="3"/>
      <c r="G124" s="3"/>
    </row>
    <row r="125" spans="4:7" ht="13.2">
      <c r="D125" s="3"/>
      <c r="E125" s="3"/>
      <c r="F125" s="3"/>
      <c r="G125" s="3"/>
    </row>
    <row r="126" spans="4:7" ht="13.2">
      <c r="D126" s="3"/>
      <c r="E126" s="3"/>
      <c r="F126" s="3"/>
      <c r="G126" s="3"/>
    </row>
    <row r="127" spans="4:7" ht="13.2">
      <c r="D127" s="3"/>
      <c r="E127" s="3"/>
      <c r="F127" s="3"/>
      <c r="G127" s="3"/>
    </row>
    <row r="128" spans="4:7" ht="13.2">
      <c r="D128" s="3"/>
      <c r="E128" s="3"/>
      <c r="F128" s="3"/>
      <c r="G128" s="3"/>
    </row>
    <row r="129" spans="4:7" ht="13.2">
      <c r="D129" s="3"/>
      <c r="E129" s="3"/>
      <c r="F129" s="3"/>
      <c r="G129" s="3"/>
    </row>
    <row r="130" spans="4:7" ht="13.2">
      <c r="D130" s="3"/>
      <c r="E130" s="3"/>
      <c r="F130" s="3"/>
      <c r="G130" s="3"/>
    </row>
    <row r="131" spans="4:7" ht="13.2">
      <c r="D131" s="3"/>
      <c r="E131" s="3"/>
      <c r="F131" s="3"/>
      <c r="G131" s="3"/>
    </row>
    <row r="132" spans="4:7" ht="13.2">
      <c r="D132" s="3"/>
      <c r="E132" s="3"/>
      <c r="F132" s="3"/>
      <c r="G132" s="3"/>
    </row>
    <row r="133" spans="4:7" ht="13.2">
      <c r="D133" s="3"/>
      <c r="E133" s="3"/>
      <c r="F133" s="3"/>
      <c r="G133" s="3"/>
    </row>
    <row r="134" spans="4:7" ht="13.2">
      <c r="D134" s="3"/>
      <c r="E134" s="3"/>
      <c r="F134" s="3"/>
      <c r="G134" s="3"/>
    </row>
    <row r="135" spans="4:7" ht="13.2">
      <c r="D135" s="3"/>
      <c r="E135" s="3"/>
      <c r="F135" s="3"/>
      <c r="G135" s="3"/>
    </row>
    <row r="136" spans="4:7" ht="13.2">
      <c r="D136" s="3"/>
      <c r="E136" s="3"/>
      <c r="F136" s="3"/>
      <c r="G136" s="3"/>
    </row>
    <row r="137" spans="4:7" ht="13.2">
      <c r="D137" s="3"/>
      <c r="E137" s="3"/>
      <c r="F137" s="3"/>
      <c r="G137" s="3"/>
    </row>
    <row r="138" spans="4:7" ht="13.2">
      <c r="D138" s="3"/>
      <c r="E138" s="3"/>
      <c r="F138" s="3"/>
      <c r="G138" s="3"/>
    </row>
    <row r="139" spans="4:7" ht="13.2">
      <c r="D139" s="3"/>
      <c r="E139" s="3"/>
      <c r="F139" s="3"/>
      <c r="G139" s="3"/>
    </row>
    <row r="140" spans="4:7" ht="13.2">
      <c r="D140" s="3"/>
      <c r="E140" s="3"/>
      <c r="F140" s="3"/>
      <c r="G140" s="3"/>
    </row>
    <row r="141" spans="4:7" ht="13.2">
      <c r="D141" s="3"/>
      <c r="E141" s="3"/>
      <c r="F141" s="3"/>
      <c r="G141" s="3"/>
    </row>
    <row r="142" spans="4:7" ht="13.2">
      <c r="D142" s="3"/>
      <c r="E142" s="3"/>
      <c r="F142" s="3"/>
      <c r="G142" s="3"/>
    </row>
    <row r="143" spans="4:7" ht="13.2">
      <c r="D143" s="3"/>
      <c r="E143" s="3"/>
      <c r="F143" s="3"/>
      <c r="G143" s="3"/>
    </row>
    <row r="144" spans="4:7" ht="13.2">
      <c r="D144" s="3"/>
      <c r="E144" s="3"/>
      <c r="F144" s="3"/>
      <c r="G144" s="3"/>
    </row>
    <row r="145" spans="4:7" ht="13.2">
      <c r="D145" s="3"/>
      <c r="E145" s="3"/>
      <c r="F145" s="3"/>
      <c r="G145" s="3"/>
    </row>
    <row r="146" spans="4:7" ht="13.2">
      <c r="D146" s="3"/>
      <c r="E146" s="3"/>
      <c r="F146" s="3"/>
      <c r="G146" s="3"/>
    </row>
    <row r="147" spans="4:7" ht="13.2">
      <c r="D147" s="3"/>
      <c r="E147" s="3"/>
      <c r="F147" s="3"/>
      <c r="G147" s="3"/>
    </row>
    <row r="148" spans="4:7" ht="13.2">
      <c r="D148" s="3"/>
      <c r="E148" s="3"/>
      <c r="F148" s="3"/>
      <c r="G148" s="3"/>
    </row>
    <row r="149" spans="4:7" ht="13.2">
      <c r="D149" s="3"/>
      <c r="E149" s="3"/>
      <c r="F149" s="3"/>
      <c r="G149" s="3"/>
    </row>
    <row r="150" spans="4:7" ht="13.2">
      <c r="D150" s="3"/>
      <c r="E150" s="3"/>
      <c r="F150" s="3"/>
      <c r="G150" s="3"/>
    </row>
    <row r="151" spans="4:7" ht="13.2">
      <c r="D151" s="3"/>
      <c r="E151" s="3"/>
      <c r="F151" s="3"/>
      <c r="G151" s="3"/>
    </row>
    <row r="152" spans="4:7" ht="13.2">
      <c r="D152" s="3"/>
      <c r="E152" s="3"/>
      <c r="F152" s="3"/>
      <c r="G152" s="3"/>
    </row>
    <row r="153" spans="4:7" ht="13.2">
      <c r="D153" s="3"/>
      <c r="E153" s="3"/>
      <c r="F153" s="3"/>
      <c r="G153" s="3"/>
    </row>
    <row r="154" spans="4:7" ht="13.2">
      <c r="D154" s="3"/>
      <c r="E154" s="3"/>
      <c r="F154" s="3"/>
      <c r="G154" s="3"/>
    </row>
    <row r="155" spans="4:7" ht="13.2">
      <c r="D155" s="3"/>
      <c r="E155" s="3"/>
      <c r="F155" s="3"/>
      <c r="G155" s="3"/>
    </row>
    <row r="156" spans="4:7" ht="13.2">
      <c r="D156" s="3"/>
      <c r="E156" s="3"/>
      <c r="F156" s="3"/>
      <c r="G156" s="3"/>
    </row>
    <row r="157" spans="4:7" ht="13.2">
      <c r="D157" s="3"/>
      <c r="E157" s="3"/>
      <c r="F157" s="3"/>
      <c r="G157" s="3"/>
    </row>
    <row r="158" spans="4:7" ht="13.2">
      <c r="D158" s="3"/>
      <c r="E158" s="3"/>
      <c r="F158" s="3"/>
      <c r="G158" s="3"/>
    </row>
    <row r="159" spans="4:7" ht="13.2">
      <c r="D159" s="3"/>
      <c r="E159" s="3"/>
      <c r="F159" s="3"/>
      <c r="G159" s="3"/>
    </row>
    <row r="160" spans="4:7" ht="13.2">
      <c r="D160" s="3"/>
      <c r="E160" s="3"/>
      <c r="F160" s="3"/>
      <c r="G160" s="3"/>
    </row>
    <row r="161" spans="4:7" ht="13.2">
      <c r="D161" s="3"/>
      <c r="E161" s="3"/>
      <c r="F161" s="3"/>
      <c r="G161" s="3"/>
    </row>
    <row r="162" spans="4:7" ht="13.2">
      <c r="D162" s="3"/>
      <c r="E162" s="3"/>
      <c r="F162" s="3"/>
      <c r="G162" s="3"/>
    </row>
    <row r="163" spans="4:7" ht="13.2">
      <c r="D163" s="3"/>
      <c r="E163" s="3"/>
      <c r="F163" s="3"/>
      <c r="G163" s="3"/>
    </row>
    <row r="164" spans="4:7" ht="13.2">
      <c r="D164" s="3"/>
      <c r="E164" s="3"/>
      <c r="F164" s="3"/>
      <c r="G164" s="3"/>
    </row>
    <row r="165" spans="4:7" ht="13.2">
      <c r="D165" s="3"/>
      <c r="E165" s="3"/>
      <c r="F165" s="3"/>
      <c r="G165" s="3"/>
    </row>
    <row r="166" spans="4:7" ht="13.2">
      <c r="D166" s="3"/>
      <c r="E166" s="3"/>
      <c r="F166" s="3"/>
      <c r="G166" s="3"/>
    </row>
    <row r="167" spans="4:7" ht="13.2">
      <c r="D167" s="3"/>
      <c r="E167" s="3"/>
      <c r="F167" s="3"/>
      <c r="G167" s="3"/>
    </row>
    <row r="168" spans="4:7" ht="13.2">
      <c r="D168" s="3"/>
      <c r="E168" s="3"/>
      <c r="F168" s="3"/>
      <c r="G168" s="3"/>
    </row>
    <row r="169" spans="4:7" ht="13.2">
      <c r="D169" s="3"/>
      <c r="E169" s="3"/>
      <c r="F169" s="3"/>
      <c r="G169" s="3"/>
    </row>
    <row r="170" spans="4:7" ht="13.2">
      <c r="D170" s="3"/>
      <c r="E170" s="3"/>
      <c r="F170" s="3"/>
      <c r="G170" s="3"/>
    </row>
    <row r="171" spans="4:7" ht="13.2">
      <c r="D171" s="3"/>
      <c r="E171" s="3"/>
      <c r="F171" s="3"/>
      <c r="G171" s="3"/>
    </row>
    <row r="172" spans="4:7" ht="13.2">
      <c r="D172" s="3"/>
      <c r="E172" s="3"/>
      <c r="F172" s="3"/>
      <c r="G172" s="3"/>
    </row>
    <row r="173" spans="4:7" ht="13.2">
      <c r="D173" s="3"/>
      <c r="E173" s="3"/>
      <c r="F173" s="3"/>
      <c r="G173" s="3"/>
    </row>
    <row r="174" spans="4:7" ht="13.2">
      <c r="D174" s="3"/>
      <c r="E174" s="3"/>
      <c r="F174" s="3"/>
      <c r="G174" s="3"/>
    </row>
    <row r="175" spans="4:7" ht="13.2">
      <c r="D175" s="3"/>
      <c r="E175" s="3"/>
      <c r="F175" s="3"/>
      <c r="G175" s="3"/>
    </row>
    <row r="176" spans="4:7" ht="13.2">
      <c r="D176" s="3"/>
      <c r="E176" s="3"/>
      <c r="F176" s="3"/>
      <c r="G176" s="3"/>
    </row>
    <row r="177" spans="4:7" ht="13.2">
      <c r="D177" s="3"/>
      <c r="E177" s="3"/>
      <c r="F177" s="3"/>
      <c r="G177" s="3"/>
    </row>
    <row r="178" spans="4:7" ht="13.2">
      <c r="D178" s="3"/>
      <c r="E178" s="3"/>
      <c r="F178" s="3"/>
      <c r="G178" s="3"/>
    </row>
    <row r="179" spans="4:7" ht="13.2">
      <c r="D179" s="3"/>
      <c r="E179" s="3"/>
      <c r="F179" s="3"/>
      <c r="G179" s="3"/>
    </row>
    <row r="180" spans="4:7" ht="13.2">
      <c r="D180" s="3"/>
      <c r="E180" s="3"/>
      <c r="F180" s="3"/>
      <c r="G180" s="3"/>
    </row>
    <row r="181" spans="4:7" ht="13.2">
      <c r="D181" s="3"/>
      <c r="E181" s="3"/>
      <c r="F181" s="3"/>
      <c r="G181" s="3"/>
    </row>
    <row r="182" spans="4:7" ht="13.2">
      <c r="D182" s="3"/>
      <c r="E182" s="3"/>
      <c r="F182" s="3"/>
      <c r="G182" s="3"/>
    </row>
    <row r="183" spans="4:7" ht="13.2">
      <c r="D183" s="3"/>
      <c r="E183" s="3"/>
      <c r="F183" s="3"/>
      <c r="G183" s="3"/>
    </row>
    <row r="184" spans="4:7" ht="13.2">
      <c r="D184" s="3"/>
      <c r="E184" s="3"/>
      <c r="F184" s="3"/>
      <c r="G184" s="3"/>
    </row>
    <row r="185" spans="4:7" ht="13.2">
      <c r="D185" s="3"/>
      <c r="E185" s="3"/>
      <c r="F185" s="3"/>
      <c r="G185" s="3"/>
    </row>
    <row r="186" spans="4:7" ht="13.2">
      <c r="D186" s="3"/>
      <c r="E186" s="3"/>
      <c r="F186" s="3"/>
      <c r="G186" s="3"/>
    </row>
    <row r="187" spans="4:7" ht="13.2">
      <c r="D187" s="3"/>
      <c r="E187" s="3"/>
      <c r="F187" s="3"/>
      <c r="G187" s="3"/>
    </row>
    <row r="188" spans="4:7" ht="13.2">
      <c r="D188" s="3"/>
      <c r="E188" s="3"/>
      <c r="F188" s="3"/>
      <c r="G188" s="3"/>
    </row>
    <row r="189" spans="4:7" ht="13.2">
      <c r="D189" s="3"/>
      <c r="E189" s="3"/>
      <c r="F189" s="3"/>
      <c r="G189" s="3"/>
    </row>
    <row r="190" spans="4:7" ht="13.2">
      <c r="D190" s="3"/>
      <c r="E190" s="3"/>
      <c r="F190" s="3"/>
      <c r="G190" s="3"/>
    </row>
    <row r="191" spans="4:7" ht="13.2">
      <c r="D191" s="3"/>
      <c r="E191" s="3"/>
      <c r="F191" s="3"/>
      <c r="G191" s="3"/>
    </row>
    <row r="192" spans="4:7" ht="13.2">
      <c r="D192" s="3"/>
      <c r="E192" s="3"/>
      <c r="F192" s="3"/>
      <c r="G192" s="3"/>
    </row>
    <row r="193" spans="4:7" ht="13.2">
      <c r="D193" s="3"/>
      <c r="E193" s="3"/>
      <c r="F193" s="3"/>
      <c r="G193" s="3"/>
    </row>
    <row r="194" spans="4:7" ht="13.2">
      <c r="D194" s="3"/>
      <c r="E194" s="3"/>
      <c r="F194" s="3"/>
      <c r="G194" s="3"/>
    </row>
    <row r="195" spans="4:7" ht="13.2">
      <c r="D195" s="3"/>
      <c r="E195" s="3"/>
      <c r="F195" s="3"/>
      <c r="G195" s="3"/>
    </row>
    <row r="196" spans="4:7" ht="13.2">
      <c r="D196" s="3"/>
      <c r="E196" s="3"/>
      <c r="F196" s="3"/>
      <c r="G196" s="3"/>
    </row>
    <row r="197" spans="4:7" ht="13.2">
      <c r="D197" s="3"/>
      <c r="E197" s="3"/>
      <c r="F197" s="3"/>
      <c r="G197" s="3"/>
    </row>
    <row r="198" spans="4:7" ht="13.2">
      <c r="D198" s="3"/>
      <c r="E198" s="3"/>
      <c r="F198" s="3"/>
      <c r="G198" s="3"/>
    </row>
    <row r="199" spans="4:7" ht="13.2">
      <c r="D199" s="3"/>
      <c r="E199" s="3"/>
      <c r="F199" s="3"/>
      <c r="G199" s="3"/>
    </row>
    <row r="200" spans="4:7" ht="13.2">
      <c r="D200" s="3"/>
      <c r="E200" s="3"/>
      <c r="F200" s="3"/>
      <c r="G200" s="3"/>
    </row>
    <row r="201" spans="4:7" ht="13.2">
      <c r="D201" s="3"/>
      <c r="E201" s="3"/>
      <c r="F201" s="3"/>
      <c r="G201" s="3"/>
    </row>
    <row r="202" spans="4:7" ht="13.2">
      <c r="D202" s="3"/>
      <c r="E202" s="3"/>
      <c r="F202" s="3"/>
      <c r="G202" s="3"/>
    </row>
    <row r="203" spans="4:7" ht="13.2">
      <c r="D203" s="3"/>
      <c r="E203" s="3"/>
      <c r="F203" s="3"/>
      <c r="G203" s="3"/>
    </row>
    <row r="204" spans="4:7" ht="13.2">
      <c r="D204" s="3"/>
      <c r="E204" s="3"/>
      <c r="F204" s="3"/>
      <c r="G204" s="3"/>
    </row>
    <row r="205" spans="4:7" ht="13.2">
      <c r="D205" s="3"/>
      <c r="E205" s="3"/>
      <c r="F205" s="3"/>
      <c r="G205" s="3"/>
    </row>
    <row r="206" spans="4:7" ht="13.2">
      <c r="D206" s="3"/>
      <c r="E206" s="3"/>
      <c r="F206" s="3"/>
      <c r="G206" s="3"/>
    </row>
    <row r="207" spans="4:7" ht="13.2">
      <c r="D207" s="3"/>
      <c r="E207" s="3"/>
      <c r="F207" s="3"/>
      <c r="G207" s="3"/>
    </row>
    <row r="208" spans="4:7" ht="13.2">
      <c r="D208" s="3"/>
      <c r="E208" s="3"/>
      <c r="F208" s="3"/>
      <c r="G208" s="3"/>
    </row>
    <row r="209" spans="4:7" ht="13.2">
      <c r="D209" s="3"/>
      <c r="E209" s="3"/>
      <c r="F209" s="3"/>
      <c r="G209" s="3"/>
    </row>
    <row r="210" spans="4:7" ht="13.2">
      <c r="D210" s="3"/>
      <c r="E210" s="3"/>
      <c r="F210" s="3"/>
      <c r="G210" s="3"/>
    </row>
    <row r="211" spans="4:7" ht="13.2">
      <c r="D211" s="3"/>
      <c r="E211" s="3"/>
      <c r="F211" s="3"/>
      <c r="G211" s="3"/>
    </row>
    <row r="212" spans="4:7" ht="13.2">
      <c r="D212" s="3"/>
      <c r="E212" s="3"/>
      <c r="F212" s="3"/>
      <c r="G212" s="3"/>
    </row>
    <row r="213" spans="4:7" ht="13.2">
      <c r="D213" s="3"/>
      <c r="E213" s="3"/>
      <c r="F213" s="3"/>
      <c r="G213" s="3"/>
    </row>
    <row r="214" spans="4:7" ht="13.2">
      <c r="D214" s="3"/>
      <c r="E214" s="3"/>
      <c r="F214" s="3"/>
      <c r="G214" s="3"/>
    </row>
    <row r="215" spans="4:7" ht="13.2">
      <c r="D215" s="3"/>
      <c r="E215" s="3"/>
      <c r="F215" s="3"/>
      <c r="G215" s="3"/>
    </row>
    <row r="216" spans="4:7" ht="13.2">
      <c r="D216" s="3"/>
      <c r="E216" s="3"/>
      <c r="F216" s="3"/>
      <c r="G216" s="3"/>
    </row>
    <row r="217" spans="4:7" ht="13.2">
      <c r="D217" s="3"/>
      <c r="E217" s="3"/>
      <c r="F217" s="3"/>
      <c r="G217" s="3"/>
    </row>
    <row r="218" spans="4:7" ht="13.2">
      <c r="D218" s="3"/>
      <c r="E218" s="3"/>
      <c r="F218" s="3"/>
      <c r="G218" s="3"/>
    </row>
    <row r="219" spans="4:7" ht="13.2">
      <c r="D219" s="3"/>
      <c r="E219" s="3"/>
      <c r="F219" s="3"/>
      <c r="G219" s="3"/>
    </row>
    <row r="220" spans="4:7" ht="13.2">
      <c r="D220" s="3"/>
      <c r="E220" s="3"/>
      <c r="F220" s="3"/>
      <c r="G220" s="3"/>
    </row>
    <row r="221" spans="4:7" ht="13.2">
      <c r="D221" s="3"/>
      <c r="E221" s="3"/>
      <c r="F221" s="3"/>
      <c r="G221" s="3"/>
    </row>
    <row r="222" spans="4:7" ht="13.2">
      <c r="D222" s="3"/>
      <c r="E222" s="3"/>
      <c r="F222" s="3"/>
      <c r="G222" s="3"/>
    </row>
    <row r="223" spans="4:7" ht="13.2">
      <c r="D223" s="3"/>
      <c r="E223" s="3"/>
      <c r="F223" s="3"/>
      <c r="G223" s="3"/>
    </row>
    <row r="224" spans="4:7" ht="13.2">
      <c r="D224" s="3"/>
      <c r="E224" s="3"/>
      <c r="F224" s="3"/>
      <c r="G224" s="3"/>
    </row>
    <row r="225" spans="4:7" ht="13.2">
      <c r="D225" s="3"/>
      <c r="E225" s="3"/>
      <c r="F225" s="3"/>
      <c r="G225" s="3"/>
    </row>
    <row r="226" spans="4:7" ht="13.2">
      <c r="D226" s="3"/>
      <c r="E226" s="3"/>
      <c r="F226" s="3"/>
      <c r="G226" s="3"/>
    </row>
    <row r="227" spans="4:7" ht="13.2">
      <c r="D227" s="3"/>
      <c r="E227" s="3"/>
      <c r="F227" s="3"/>
      <c r="G227" s="3"/>
    </row>
    <row r="228" spans="4:7" ht="13.2">
      <c r="D228" s="3"/>
      <c r="E228" s="3"/>
      <c r="F228" s="3"/>
      <c r="G228" s="3"/>
    </row>
    <row r="229" spans="4:7" ht="13.2">
      <c r="D229" s="3"/>
      <c r="E229" s="3"/>
      <c r="F229" s="3"/>
      <c r="G229" s="3"/>
    </row>
    <row r="230" spans="4:7" ht="13.2">
      <c r="D230" s="3"/>
      <c r="E230" s="3"/>
      <c r="F230" s="3"/>
      <c r="G230" s="3"/>
    </row>
    <row r="231" spans="4:7" ht="13.2">
      <c r="D231" s="3"/>
      <c r="E231" s="3"/>
      <c r="F231" s="3"/>
      <c r="G231" s="3"/>
    </row>
    <row r="232" spans="4:7" ht="13.2">
      <c r="D232" s="3"/>
      <c r="E232" s="3"/>
      <c r="F232" s="3"/>
      <c r="G232" s="3"/>
    </row>
    <row r="233" spans="4:7" ht="13.2">
      <c r="D233" s="3"/>
      <c r="E233" s="3"/>
      <c r="F233" s="3"/>
      <c r="G233" s="3"/>
    </row>
    <row r="234" spans="4:7" ht="13.2">
      <c r="D234" s="3"/>
      <c r="E234" s="3"/>
      <c r="F234" s="3"/>
      <c r="G234" s="3"/>
    </row>
    <row r="235" spans="4:7" ht="13.2">
      <c r="D235" s="3"/>
      <c r="E235" s="3"/>
      <c r="F235" s="3"/>
      <c r="G235" s="3"/>
    </row>
    <row r="236" spans="4:7" ht="13.2">
      <c r="D236" s="3"/>
      <c r="E236" s="3"/>
      <c r="F236" s="3"/>
      <c r="G236" s="3"/>
    </row>
    <row r="237" spans="4:7" ht="13.2">
      <c r="D237" s="3"/>
      <c r="E237" s="3"/>
      <c r="F237" s="3"/>
      <c r="G237" s="3"/>
    </row>
    <row r="238" spans="4:7" ht="13.2">
      <c r="D238" s="3"/>
      <c r="E238" s="3"/>
      <c r="F238" s="3"/>
      <c r="G238" s="3"/>
    </row>
    <row r="239" spans="4:7" ht="13.2">
      <c r="D239" s="3"/>
      <c r="E239" s="3"/>
      <c r="F239" s="3"/>
      <c r="G239" s="3"/>
    </row>
    <row r="240" spans="4:7" ht="13.2">
      <c r="D240" s="3"/>
      <c r="E240" s="3"/>
      <c r="F240" s="3"/>
      <c r="G240" s="3"/>
    </row>
    <row r="241" spans="4:7" ht="13.2">
      <c r="D241" s="3"/>
      <c r="E241" s="3"/>
      <c r="F241" s="3"/>
      <c r="G241" s="3"/>
    </row>
    <row r="242" spans="4:7" ht="13.2">
      <c r="D242" s="3"/>
      <c r="E242" s="3"/>
      <c r="F242" s="3"/>
      <c r="G242" s="3"/>
    </row>
    <row r="243" spans="4:7" ht="13.2">
      <c r="D243" s="3"/>
      <c r="E243" s="3"/>
      <c r="F243" s="3"/>
      <c r="G243" s="3"/>
    </row>
    <row r="244" spans="4:7" ht="13.2">
      <c r="D244" s="3"/>
      <c r="E244" s="3"/>
      <c r="F244" s="3"/>
      <c r="G244" s="3"/>
    </row>
    <row r="245" spans="4:7" ht="13.2">
      <c r="D245" s="3"/>
      <c r="E245" s="3"/>
      <c r="F245" s="3"/>
      <c r="G245" s="3"/>
    </row>
    <row r="246" spans="4:7" ht="13.2">
      <c r="D246" s="3"/>
      <c r="E246" s="3"/>
      <c r="F246" s="3"/>
      <c r="G246" s="3"/>
    </row>
    <row r="247" spans="4:7" ht="13.2">
      <c r="D247" s="3"/>
      <c r="E247" s="3"/>
      <c r="F247" s="3"/>
      <c r="G247" s="3"/>
    </row>
    <row r="248" spans="4:7" ht="13.2">
      <c r="D248" s="3"/>
      <c r="E248" s="3"/>
      <c r="F248" s="3"/>
      <c r="G248" s="3"/>
    </row>
    <row r="249" spans="4:7" ht="13.2">
      <c r="D249" s="3"/>
      <c r="E249" s="3"/>
      <c r="F249" s="3"/>
      <c r="G249" s="3"/>
    </row>
    <row r="250" spans="4:7" ht="13.2">
      <c r="D250" s="3"/>
      <c r="E250" s="3"/>
      <c r="F250" s="3"/>
      <c r="G250" s="3"/>
    </row>
    <row r="251" spans="4:7" ht="13.2">
      <c r="D251" s="3"/>
      <c r="E251" s="3"/>
      <c r="F251" s="3"/>
      <c r="G251" s="3"/>
    </row>
    <row r="252" spans="4:7" ht="13.2">
      <c r="D252" s="3"/>
      <c r="E252" s="3"/>
      <c r="F252" s="3"/>
      <c r="G252" s="3"/>
    </row>
    <row r="253" spans="4:7" ht="13.2">
      <c r="D253" s="3"/>
      <c r="E253" s="3"/>
      <c r="F253" s="3"/>
      <c r="G253" s="3"/>
    </row>
    <row r="254" spans="4:7" ht="13.2">
      <c r="D254" s="3"/>
      <c r="E254" s="3"/>
      <c r="F254" s="3"/>
      <c r="G254" s="3"/>
    </row>
    <row r="255" spans="4:7" ht="13.2">
      <c r="D255" s="3"/>
      <c r="E255" s="3"/>
      <c r="F255" s="3"/>
      <c r="G255" s="3"/>
    </row>
    <row r="256" spans="4:7" ht="13.2">
      <c r="D256" s="3"/>
      <c r="E256" s="3"/>
      <c r="F256" s="3"/>
      <c r="G256" s="3"/>
    </row>
    <row r="257" spans="4:7" ht="13.2">
      <c r="D257" s="3"/>
      <c r="E257" s="3"/>
      <c r="F257" s="3"/>
      <c r="G257" s="3"/>
    </row>
    <row r="258" spans="4:7" ht="13.2">
      <c r="D258" s="3"/>
      <c r="E258" s="3"/>
      <c r="F258" s="3"/>
      <c r="G258" s="3"/>
    </row>
    <row r="259" spans="4:7" ht="13.2">
      <c r="D259" s="3"/>
      <c r="E259" s="3"/>
      <c r="F259" s="3"/>
      <c r="G259" s="3"/>
    </row>
    <row r="260" spans="4:7" ht="13.2">
      <c r="D260" s="3"/>
      <c r="E260" s="3"/>
      <c r="F260" s="3"/>
      <c r="G260" s="3"/>
    </row>
    <row r="261" spans="4:7" ht="13.2">
      <c r="D261" s="3"/>
      <c r="E261" s="3"/>
      <c r="F261" s="3"/>
      <c r="G261" s="3"/>
    </row>
    <row r="262" spans="4:7" ht="13.2">
      <c r="D262" s="3"/>
      <c r="E262" s="3"/>
      <c r="F262" s="3"/>
      <c r="G262" s="3"/>
    </row>
    <row r="263" spans="4:7" ht="13.2">
      <c r="D263" s="3"/>
      <c r="E263" s="3"/>
      <c r="F263" s="3"/>
      <c r="G263" s="3"/>
    </row>
    <row r="264" spans="4:7" ht="13.2">
      <c r="D264" s="3"/>
      <c r="E264" s="3"/>
      <c r="F264" s="3"/>
      <c r="G264" s="3"/>
    </row>
    <row r="265" spans="4:7" ht="13.2">
      <c r="D265" s="3"/>
      <c r="E265" s="3"/>
      <c r="F265" s="3"/>
      <c r="G265" s="3"/>
    </row>
    <row r="266" spans="4:7" ht="13.2">
      <c r="D266" s="3"/>
      <c r="E266" s="3"/>
      <c r="F266" s="3"/>
      <c r="G266" s="3"/>
    </row>
    <row r="267" spans="4:7" ht="13.2">
      <c r="D267" s="3"/>
      <c r="E267" s="3"/>
      <c r="F267" s="3"/>
      <c r="G267" s="3"/>
    </row>
    <row r="268" spans="4:7" ht="13.2">
      <c r="D268" s="3"/>
      <c r="E268" s="3"/>
      <c r="F268" s="3"/>
      <c r="G268" s="3"/>
    </row>
    <row r="269" spans="4:7" ht="13.2">
      <c r="D269" s="3"/>
      <c r="E269" s="3"/>
      <c r="F269" s="3"/>
      <c r="G269" s="3"/>
    </row>
    <row r="270" spans="4:7" ht="13.2">
      <c r="D270" s="3"/>
      <c r="E270" s="3"/>
      <c r="F270" s="3"/>
      <c r="G270" s="3"/>
    </row>
    <row r="271" spans="4:7" ht="13.2">
      <c r="D271" s="3"/>
      <c r="E271" s="3"/>
      <c r="F271" s="3"/>
      <c r="G271" s="3"/>
    </row>
    <row r="272" spans="4:7" ht="13.2">
      <c r="D272" s="3"/>
      <c r="E272" s="3"/>
      <c r="F272" s="3"/>
      <c r="G272" s="3"/>
    </row>
    <row r="273" spans="4:7" ht="13.2">
      <c r="D273" s="3"/>
      <c r="E273" s="3"/>
      <c r="F273" s="3"/>
      <c r="G273" s="3"/>
    </row>
    <row r="274" spans="4:7" ht="13.2">
      <c r="D274" s="3"/>
      <c r="E274" s="3"/>
      <c r="F274" s="3"/>
      <c r="G274" s="3"/>
    </row>
    <row r="275" spans="4:7" ht="13.2">
      <c r="D275" s="3"/>
      <c r="E275" s="3"/>
      <c r="F275" s="3"/>
      <c r="G275" s="3"/>
    </row>
    <row r="276" spans="4:7" ht="13.2">
      <c r="D276" s="3"/>
      <c r="E276" s="3"/>
      <c r="F276" s="3"/>
      <c r="G276" s="3"/>
    </row>
    <row r="277" spans="4:7" ht="13.2">
      <c r="D277" s="3"/>
      <c r="E277" s="3"/>
      <c r="F277" s="3"/>
      <c r="G277" s="3"/>
    </row>
    <row r="278" spans="4:7" ht="13.2">
      <c r="D278" s="3"/>
      <c r="E278" s="3"/>
      <c r="F278" s="3"/>
      <c r="G278" s="3"/>
    </row>
    <row r="279" spans="4:7" ht="13.2">
      <c r="D279" s="3"/>
      <c r="E279" s="3"/>
      <c r="F279" s="3"/>
      <c r="G279" s="3"/>
    </row>
    <row r="280" spans="4:7" ht="13.2">
      <c r="D280" s="3"/>
      <c r="E280" s="3"/>
      <c r="F280" s="3"/>
      <c r="G280" s="3"/>
    </row>
    <row r="281" spans="4:7" ht="13.2">
      <c r="D281" s="3"/>
      <c r="E281" s="3"/>
      <c r="F281" s="3"/>
      <c r="G281" s="3"/>
    </row>
    <row r="282" spans="4:7" ht="13.2">
      <c r="D282" s="3"/>
      <c r="E282" s="3"/>
      <c r="F282" s="3"/>
      <c r="G282" s="3"/>
    </row>
    <row r="283" spans="4:7" ht="13.2">
      <c r="D283" s="3"/>
      <c r="E283" s="3"/>
      <c r="F283" s="3"/>
      <c r="G283" s="3"/>
    </row>
    <row r="284" spans="4:7" ht="13.2">
      <c r="D284" s="3"/>
      <c r="E284" s="3"/>
      <c r="F284" s="3"/>
      <c r="G284" s="3"/>
    </row>
    <row r="285" spans="4:7" ht="13.2">
      <c r="D285" s="3"/>
      <c r="E285" s="3"/>
      <c r="F285" s="3"/>
      <c r="G285" s="3"/>
    </row>
    <row r="286" spans="4:7" ht="13.2">
      <c r="D286" s="3"/>
      <c r="E286" s="3"/>
      <c r="F286" s="3"/>
      <c r="G286" s="3"/>
    </row>
    <row r="287" spans="4:7" ht="13.2">
      <c r="D287" s="3"/>
      <c r="E287" s="3"/>
      <c r="F287" s="3"/>
      <c r="G287" s="3"/>
    </row>
    <row r="288" spans="4:7" ht="13.2">
      <c r="D288" s="3"/>
      <c r="E288" s="3"/>
      <c r="F288" s="3"/>
      <c r="G288" s="3"/>
    </row>
    <row r="289" spans="4:7" ht="13.2">
      <c r="D289" s="3"/>
      <c r="E289" s="3"/>
      <c r="F289" s="3"/>
      <c r="G289" s="3"/>
    </row>
    <row r="290" spans="4:7" ht="13.2">
      <c r="D290" s="3"/>
      <c r="E290" s="3"/>
      <c r="F290" s="3"/>
      <c r="G290" s="3"/>
    </row>
    <row r="291" spans="4:7" ht="13.2">
      <c r="D291" s="3"/>
      <c r="E291" s="3"/>
      <c r="F291" s="3"/>
      <c r="G291" s="3"/>
    </row>
    <row r="292" spans="4:7" ht="13.2">
      <c r="D292" s="3"/>
      <c r="E292" s="3"/>
      <c r="F292" s="3"/>
      <c r="G292" s="3"/>
    </row>
    <row r="293" spans="4:7" ht="13.2">
      <c r="D293" s="3"/>
      <c r="E293" s="3"/>
      <c r="F293" s="3"/>
      <c r="G293" s="3"/>
    </row>
    <row r="294" spans="4:7" ht="13.2">
      <c r="D294" s="3"/>
      <c r="E294" s="3"/>
      <c r="F294" s="3"/>
      <c r="G294" s="3"/>
    </row>
    <row r="295" spans="4:7" ht="13.2">
      <c r="D295" s="3"/>
      <c r="E295" s="3"/>
      <c r="F295" s="3"/>
      <c r="G295" s="3"/>
    </row>
    <row r="296" spans="4:7" ht="13.2">
      <c r="D296" s="3"/>
      <c r="E296" s="3"/>
      <c r="F296" s="3"/>
      <c r="G296" s="3"/>
    </row>
    <row r="297" spans="4:7" ht="13.2">
      <c r="D297" s="3"/>
      <c r="E297" s="3"/>
      <c r="F297" s="3"/>
      <c r="G297" s="3"/>
    </row>
    <row r="298" spans="4:7" ht="13.2">
      <c r="D298" s="3"/>
      <c r="E298" s="3"/>
      <c r="F298" s="3"/>
      <c r="G298" s="3"/>
    </row>
    <row r="299" spans="4:7" ht="13.2">
      <c r="D299" s="3"/>
      <c r="E299" s="3"/>
      <c r="F299" s="3"/>
      <c r="G299" s="3"/>
    </row>
    <row r="300" spans="4:7" ht="13.2">
      <c r="D300" s="3"/>
      <c r="E300" s="3"/>
      <c r="F300" s="3"/>
      <c r="G300" s="3"/>
    </row>
    <row r="301" spans="4:7" ht="13.2">
      <c r="D301" s="3"/>
      <c r="E301" s="3"/>
      <c r="F301" s="3"/>
      <c r="G301" s="3"/>
    </row>
    <row r="302" spans="4:7" ht="13.2">
      <c r="D302" s="3"/>
      <c r="E302" s="3"/>
      <c r="F302" s="3"/>
      <c r="G302" s="3"/>
    </row>
    <row r="303" spans="4:7" ht="13.2">
      <c r="D303" s="3"/>
      <c r="E303" s="3"/>
      <c r="F303" s="3"/>
      <c r="G303" s="3"/>
    </row>
    <row r="304" spans="4:7" ht="13.2">
      <c r="D304" s="3"/>
      <c r="E304" s="3"/>
      <c r="F304" s="3"/>
      <c r="G304" s="3"/>
    </row>
    <row r="305" spans="4:7" ht="13.2">
      <c r="D305" s="3"/>
      <c r="E305" s="3"/>
      <c r="F305" s="3"/>
      <c r="G305" s="3"/>
    </row>
    <row r="306" spans="4:7" ht="13.2">
      <c r="D306" s="3"/>
      <c r="E306" s="3"/>
      <c r="F306" s="3"/>
      <c r="G306" s="3"/>
    </row>
    <row r="307" spans="4:7" ht="13.2">
      <c r="D307" s="3"/>
      <c r="E307" s="3"/>
      <c r="F307" s="3"/>
      <c r="G307" s="3"/>
    </row>
    <row r="308" spans="4:7" ht="13.2">
      <c r="D308" s="3"/>
      <c r="E308" s="3"/>
      <c r="F308" s="3"/>
      <c r="G308" s="3"/>
    </row>
    <row r="309" spans="4:7" ht="13.2">
      <c r="D309" s="3"/>
      <c r="E309" s="3"/>
      <c r="F309" s="3"/>
      <c r="G309" s="3"/>
    </row>
    <row r="310" spans="4:7" ht="13.2">
      <c r="D310" s="3"/>
      <c r="E310" s="3"/>
      <c r="F310" s="3"/>
      <c r="G310" s="3"/>
    </row>
    <row r="311" spans="4:7" ht="13.2">
      <c r="D311" s="3"/>
      <c r="E311" s="3"/>
      <c r="F311" s="3"/>
      <c r="G311" s="3"/>
    </row>
    <row r="312" spans="4:7" ht="13.2">
      <c r="D312" s="3"/>
      <c r="E312" s="3"/>
      <c r="F312" s="3"/>
      <c r="G312" s="3"/>
    </row>
    <row r="313" spans="4:7" ht="13.2">
      <c r="D313" s="3"/>
      <c r="E313" s="3"/>
      <c r="F313" s="3"/>
      <c r="G313" s="3"/>
    </row>
    <row r="314" spans="4:7" ht="13.2">
      <c r="D314" s="3"/>
      <c r="E314" s="3"/>
      <c r="F314" s="3"/>
      <c r="G314" s="3"/>
    </row>
    <row r="315" spans="4:7" ht="13.2">
      <c r="D315" s="3"/>
      <c r="E315" s="3"/>
      <c r="F315" s="3"/>
      <c r="G315" s="3"/>
    </row>
    <row r="316" spans="4:7" ht="13.2">
      <c r="D316" s="3"/>
      <c r="E316" s="3"/>
      <c r="F316" s="3"/>
      <c r="G316" s="3"/>
    </row>
    <row r="317" spans="4:7" ht="13.2">
      <c r="D317" s="3"/>
      <c r="E317" s="3"/>
      <c r="F317" s="3"/>
      <c r="G317" s="3"/>
    </row>
    <row r="318" spans="4:7" ht="13.2">
      <c r="D318" s="3"/>
      <c r="E318" s="3"/>
      <c r="F318" s="3"/>
      <c r="G318" s="3"/>
    </row>
    <row r="319" spans="4:7" ht="13.2">
      <c r="D319" s="3"/>
      <c r="E319" s="3"/>
      <c r="F319" s="3"/>
      <c r="G319" s="3"/>
    </row>
    <row r="320" spans="4:7" ht="13.2">
      <c r="D320" s="3"/>
      <c r="E320" s="3"/>
      <c r="F320" s="3"/>
      <c r="G320" s="3"/>
    </row>
    <row r="321" spans="4:7" ht="13.2">
      <c r="D321" s="3"/>
      <c r="E321" s="3"/>
      <c r="F321" s="3"/>
      <c r="G321" s="3"/>
    </row>
    <row r="322" spans="4:7" ht="13.2">
      <c r="D322" s="3"/>
      <c r="E322" s="3"/>
      <c r="F322" s="3"/>
      <c r="G322" s="3"/>
    </row>
    <row r="323" spans="4:7" ht="13.2">
      <c r="D323" s="3"/>
      <c r="E323" s="3"/>
      <c r="F323" s="3"/>
      <c r="G323" s="3"/>
    </row>
    <row r="324" spans="4:7" ht="13.2">
      <c r="D324" s="3"/>
      <c r="E324" s="3"/>
      <c r="F324" s="3"/>
      <c r="G324" s="3"/>
    </row>
    <row r="325" spans="4:7" ht="13.2">
      <c r="D325" s="3"/>
      <c r="E325" s="3"/>
      <c r="F325" s="3"/>
      <c r="G325" s="3"/>
    </row>
    <row r="326" spans="4:7" ht="13.2">
      <c r="D326" s="3"/>
      <c r="E326" s="3"/>
      <c r="F326" s="3"/>
      <c r="G326" s="3"/>
    </row>
    <row r="327" spans="4:7" ht="13.2">
      <c r="D327" s="3"/>
      <c r="E327" s="3"/>
      <c r="F327" s="3"/>
      <c r="G327" s="3"/>
    </row>
    <row r="328" spans="4:7" ht="13.2">
      <c r="D328" s="3"/>
      <c r="E328" s="3"/>
      <c r="F328" s="3"/>
      <c r="G328" s="3"/>
    </row>
    <row r="329" spans="4:7" ht="13.2">
      <c r="D329" s="3"/>
      <c r="E329" s="3"/>
      <c r="F329" s="3"/>
      <c r="G329" s="3"/>
    </row>
    <row r="330" spans="4:7" ht="13.2">
      <c r="D330" s="3"/>
      <c r="E330" s="3"/>
      <c r="F330" s="3"/>
      <c r="G330" s="3"/>
    </row>
    <row r="331" spans="4:7" ht="13.2">
      <c r="D331" s="3"/>
      <c r="E331" s="3"/>
      <c r="F331" s="3"/>
      <c r="G331" s="3"/>
    </row>
    <row r="332" spans="4:7" ht="13.2">
      <c r="D332" s="3"/>
      <c r="E332" s="3"/>
      <c r="F332" s="3"/>
      <c r="G332" s="3"/>
    </row>
    <row r="333" spans="4:7" ht="13.2">
      <c r="D333" s="3"/>
      <c r="E333" s="3"/>
      <c r="F333" s="3"/>
      <c r="G333" s="3"/>
    </row>
    <row r="334" spans="4:7" ht="13.2">
      <c r="D334" s="3"/>
      <c r="E334" s="3"/>
      <c r="F334" s="3"/>
      <c r="G334" s="3"/>
    </row>
    <row r="335" spans="4:7" ht="13.2">
      <c r="D335" s="3"/>
      <c r="E335" s="3"/>
      <c r="F335" s="3"/>
      <c r="G335" s="3"/>
    </row>
    <row r="336" spans="4:7" ht="13.2">
      <c r="D336" s="3"/>
      <c r="E336" s="3"/>
      <c r="F336" s="3"/>
      <c r="G336" s="3"/>
    </row>
    <row r="337" spans="4:7" ht="13.2">
      <c r="D337" s="3"/>
      <c r="E337" s="3"/>
      <c r="F337" s="3"/>
      <c r="G337" s="3"/>
    </row>
    <row r="338" spans="4:7" ht="13.2">
      <c r="D338" s="3"/>
      <c r="E338" s="3"/>
      <c r="F338" s="3"/>
      <c r="G338" s="3"/>
    </row>
    <row r="339" spans="4:7" ht="13.2">
      <c r="D339" s="3"/>
      <c r="E339" s="3"/>
      <c r="F339" s="3"/>
      <c r="G339" s="3"/>
    </row>
    <row r="340" spans="4:7" ht="13.2">
      <c r="D340" s="3"/>
      <c r="E340" s="3"/>
      <c r="F340" s="3"/>
      <c r="G340" s="3"/>
    </row>
    <row r="341" spans="4:7" ht="13.2">
      <c r="D341" s="3"/>
      <c r="E341" s="3"/>
      <c r="F341" s="3"/>
      <c r="G341" s="3"/>
    </row>
    <row r="342" spans="4:7" ht="13.2">
      <c r="D342" s="3"/>
      <c r="E342" s="3"/>
      <c r="F342" s="3"/>
      <c r="G342" s="3"/>
    </row>
    <row r="343" spans="4:7" ht="13.2">
      <c r="D343" s="3"/>
      <c r="E343" s="3"/>
      <c r="F343" s="3"/>
      <c r="G343" s="3"/>
    </row>
    <row r="344" spans="4:7" ht="13.2">
      <c r="D344" s="3"/>
      <c r="E344" s="3"/>
      <c r="F344" s="3"/>
      <c r="G344" s="3"/>
    </row>
    <row r="345" spans="4:7" ht="13.2">
      <c r="D345" s="3"/>
      <c r="E345" s="3"/>
      <c r="F345" s="3"/>
      <c r="G345" s="3"/>
    </row>
    <row r="346" spans="4:7" ht="13.2">
      <c r="D346" s="3"/>
      <c r="E346" s="3"/>
      <c r="F346" s="3"/>
      <c r="G346" s="3"/>
    </row>
    <row r="347" spans="4:7" ht="13.2">
      <c r="D347" s="3"/>
      <c r="E347" s="3"/>
      <c r="F347" s="3"/>
      <c r="G347" s="3"/>
    </row>
    <row r="348" spans="4:7" ht="13.2">
      <c r="D348" s="3"/>
      <c r="E348" s="3"/>
      <c r="F348" s="3"/>
      <c r="G348" s="3"/>
    </row>
    <row r="349" spans="4:7" ht="13.2">
      <c r="D349" s="3"/>
      <c r="E349" s="3"/>
      <c r="F349" s="3"/>
      <c r="G349" s="3"/>
    </row>
    <row r="350" spans="4:7" ht="13.2">
      <c r="D350" s="3"/>
      <c r="E350" s="3"/>
      <c r="F350" s="3"/>
      <c r="G350" s="3"/>
    </row>
    <row r="351" spans="4:7" ht="13.2">
      <c r="D351" s="3"/>
      <c r="E351" s="3"/>
      <c r="F351" s="3"/>
      <c r="G351" s="3"/>
    </row>
    <row r="352" spans="4:7" ht="13.2">
      <c r="D352" s="3"/>
      <c r="E352" s="3"/>
      <c r="F352" s="3"/>
      <c r="G352" s="3"/>
    </row>
    <row r="353" spans="4:7" ht="13.2">
      <c r="D353" s="3"/>
      <c r="E353" s="3"/>
      <c r="F353" s="3"/>
      <c r="G353" s="3"/>
    </row>
    <row r="354" spans="4:7" ht="13.2">
      <c r="D354" s="3"/>
      <c r="E354" s="3"/>
      <c r="F354" s="3"/>
      <c r="G354" s="3"/>
    </row>
    <row r="355" spans="4:7" ht="13.2">
      <c r="D355" s="3"/>
      <c r="E355" s="3"/>
      <c r="F355" s="3"/>
      <c r="G355" s="3"/>
    </row>
    <row r="356" spans="4:7" ht="13.2">
      <c r="D356" s="3"/>
      <c r="E356" s="3"/>
      <c r="F356" s="3"/>
      <c r="G356" s="3"/>
    </row>
    <row r="357" spans="4:7" ht="13.2">
      <c r="D357" s="3"/>
      <c r="E357" s="3"/>
      <c r="F357" s="3"/>
      <c r="G357" s="3"/>
    </row>
    <row r="358" spans="4:7" ht="13.2">
      <c r="D358" s="3"/>
      <c r="E358" s="3"/>
      <c r="F358" s="3"/>
      <c r="G358" s="3"/>
    </row>
    <row r="359" spans="4:7" ht="13.2">
      <c r="D359" s="3"/>
      <c r="E359" s="3"/>
      <c r="F359" s="3"/>
      <c r="G359" s="3"/>
    </row>
    <row r="360" spans="4:7" ht="13.2">
      <c r="D360" s="3"/>
      <c r="E360" s="3"/>
      <c r="F360" s="3"/>
      <c r="G360" s="3"/>
    </row>
    <row r="361" spans="4:7" ht="13.2">
      <c r="D361" s="3"/>
      <c r="E361" s="3"/>
      <c r="F361" s="3"/>
      <c r="G361" s="3"/>
    </row>
    <row r="362" spans="4:7" ht="13.2">
      <c r="D362" s="3"/>
      <c r="E362" s="3"/>
      <c r="F362" s="3"/>
      <c r="G362" s="3"/>
    </row>
    <row r="363" spans="4:7" ht="13.2">
      <c r="D363" s="3"/>
      <c r="E363" s="3"/>
      <c r="F363" s="3"/>
      <c r="G363" s="3"/>
    </row>
    <row r="364" spans="4:7" ht="13.2">
      <c r="D364" s="3"/>
      <c r="E364" s="3"/>
      <c r="F364" s="3"/>
      <c r="G364" s="3"/>
    </row>
    <row r="365" spans="4:7" ht="13.2">
      <c r="D365" s="3"/>
      <c r="E365" s="3"/>
      <c r="F365" s="3"/>
      <c r="G365" s="3"/>
    </row>
    <row r="366" spans="4:7" ht="13.2">
      <c r="D366" s="3"/>
      <c r="E366" s="3"/>
      <c r="F366" s="3"/>
      <c r="G366" s="3"/>
    </row>
    <row r="367" spans="4:7" ht="13.2">
      <c r="D367" s="3"/>
      <c r="E367" s="3"/>
      <c r="F367" s="3"/>
      <c r="G367" s="3"/>
    </row>
    <row r="368" spans="4:7" ht="13.2">
      <c r="D368" s="3"/>
      <c r="E368" s="3"/>
      <c r="F368" s="3"/>
      <c r="G368" s="3"/>
    </row>
    <row r="369" spans="4:7" ht="13.2">
      <c r="D369" s="3"/>
      <c r="E369" s="3"/>
      <c r="F369" s="3"/>
      <c r="G369" s="3"/>
    </row>
    <row r="370" spans="4:7" ht="13.2">
      <c r="D370" s="3"/>
      <c r="E370" s="3"/>
      <c r="F370" s="3"/>
      <c r="G370" s="3"/>
    </row>
    <row r="371" spans="4:7" ht="13.2">
      <c r="D371" s="3"/>
      <c r="E371" s="3"/>
      <c r="F371" s="3"/>
      <c r="G371" s="3"/>
    </row>
    <row r="372" spans="4:7" ht="13.2">
      <c r="D372" s="3"/>
      <c r="E372" s="3"/>
      <c r="F372" s="3"/>
      <c r="G372" s="3"/>
    </row>
    <row r="373" spans="4:7" ht="13.2">
      <c r="D373" s="3"/>
      <c r="E373" s="3"/>
      <c r="F373" s="3"/>
      <c r="G373" s="3"/>
    </row>
    <row r="374" spans="4:7" ht="13.2">
      <c r="D374" s="3"/>
      <c r="E374" s="3"/>
      <c r="F374" s="3"/>
      <c r="G374" s="3"/>
    </row>
    <row r="375" spans="4:7" ht="13.2">
      <c r="D375" s="3"/>
      <c r="E375" s="3"/>
      <c r="F375" s="3"/>
      <c r="G375" s="3"/>
    </row>
    <row r="376" spans="4:7" ht="13.2">
      <c r="D376" s="3"/>
      <c r="E376" s="3"/>
      <c r="F376" s="3"/>
      <c r="G376" s="3"/>
    </row>
    <row r="377" spans="4:7" ht="13.2">
      <c r="D377" s="3"/>
      <c r="E377" s="3"/>
      <c r="F377" s="3"/>
      <c r="G377" s="3"/>
    </row>
    <row r="378" spans="4:7" ht="13.2">
      <c r="D378" s="3"/>
      <c r="E378" s="3"/>
      <c r="F378" s="3"/>
      <c r="G378" s="3"/>
    </row>
    <row r="379" spans="4:7" ht="13.2">
      <c r="D379" s="3"/>
      <c r="E379" s="3"/>
      <c r="F379" s="3"/>
      <c r="G379" s="3"/>
    </row>
    <row r="380" spans="4:7" ht="13.2">
      <c r="D380" s="3"/>
      <c r="E380" s="3"/>
      <c r="F380" s="3"/>
      <c r="G380" s="3"/>
    </row>
    <row r="381" spans="4:7" ht="13.2">
      <c r="D381" s="3"/>
      <c r="E381" s="3"/>
      <c r="F381" s="3"/>
      <c r="G381" s="3"/>
    </row>
    <row r="382" spans="4:7" ht="13.2">
      <c r="D382" s="3"/>
      <c r="E382" s="3"/>
      <c r="F382" s="3"/>
      <c r="G382" s="3"/>
    </row>
    <row r="383" spans="4:7" ht="13.2">
      <c r="D383" s="3"/>
      <c r="E383" s="3"/>
      <c r="F383" s="3"/>
      <c r="G383" s="3"/>
    </row>
    <row r="384" spans="4:7" ht="13.2">
      <c r="D384" s="3"/>
      <c r="E384" s="3"/>
      <c r="F384" s="3"/>
      <c r="G384" s="3"/>
    </row>
    <row r="385" spans="4:7" ht="13.2">
      <c r="D385" s="3"/>
      <c r="E385" s="3"/>
      <c r="F385" s="3"/>
      <c r="G385" s="3"/>
    </row>
    <row r="386" spans="4:7" ht="13.2">
      <c r="D386" s="3"/>
      <c r="E386" s="3"/>
      <c r="F386" s="3"/>
      <c r="G386" s="3"/>
    </row>
    <row r="387" spans="4:7" ht="13.2">
      <c r="D387" s="3"/>
      <c r="E387" s="3"/>
      <c r="F387" s="3"/>
      <c r="G387" s="3"/>
    </row>
    <row r="388" spans="4:7" ht="13.2">
      <c r="D388" s="3"/>
      <c r="E388" s="3"/>
      <c r="F388" s="3"/>
      <c r="G388" s="3"/>
    </row>
    <row r="389" spans="4:7" ht="13.2">
      <c r="D389" s="3"/>
      <c r="E389" s="3"/>
      <c r="F389" s="3"/>
      <c r="G389" s="3"/>
    </row>
    <row r="390" spans="4:7" ht="13.2">
      <c r="D390" s="3"/>
      <c r="E390" s="3"/>
      <c r="F390" s="3"/>
      <c r="G390" s="3"/>
    </row>
    <row r="391" spans="4:7" ht="13.2">
      <c r="D391" s="3"/>
      <c r="E391" s="3"/>
      <c r="F391" s="3"/>
      <c r="G391" s="3"/>
    </row>
    <row r="392" spans="4:7" ht="13.2">
      <c r="D392" s="3"/>
      <c r="E392" s="3"/>
      <c r="F392" s="3"/>
      <c r="G392" s="3"/>
    </row>
    <row r="393" spans="4:7" ht="13.2">
      <c r="D393" s="3"/>
      <c r="E393" s="3"/>
      <c r="F393" s="3"/>
      <c r="G393" s="3"/>
    </row>
    <row r="394" spans="4:7" ht="13.2">
      <c r="D394" s="3"/>
      <c r="E394" s="3"/>
      <c r="F394" s="3"/>
      <c r="G394" s="3"/>
    </row>
    <row r="395" spans="4:7" ht="13.2">
      <c r="D395" s="3"/>
      <c r="E395" s="3"/>
      <c r="F395" s="3"/>
      <c r="G395" s="3"/>
    </row>
    <row r="396" spans="4:7" ht="13.2">
      <c r="D396" s="3"/>
      <c r="E396" s="3"/>
      <c r="F396" s="3"/>
      <c r="G396" s="3"/>
    </row>
    <row r="397" spans="4:7" ht="13.2">
      <c r="D397" s="3"/>
      <c r="E397" s="3"/>
      <c r="F397" s="3"/>
      <c r="G397" s="3"/>
    </row>
    <row r="398" spans="4:7" ht="13.2">
      <c r="D398" s="3"/>
      <c r="E398" s="3"/>
      <c r="F398" s="3"/>
      <c r="G398" s="3"/>
    </row>
    <row r="399" spans="4:7" ht="13.2">
      <c r="D399" s="3"/>
      <c r="E399" s="3"/>
      <c r="F399" s="3"/>
      <c r="G399" s="3"/>
    </row>
    <row r="400" spans="4:7" ht="13.2">
      <c r="D400" s="3"/>
      <c r="E400" s="3"/>
      <c r="F400" s="3"/>
      <c r="G400" s="3"/>
    </row>
    <row r="401" spans="4:7" ht="13.2">
      <c r="D401" s="3"/>
      <c r="E401" s="3"/>
      <c r="F401" s="3"/>
      <c r="G401" s="3"/>
    </row>
    <row r="402" spans="4:7" ht="13.2">
      <c r="D402" s="3"/>
      <c r="E402" s="3"/>
      <c r="F402" s="3"/>
      <c r="G402" s="3"/>
    </row>
    <row r="403" spans="4:7" ht="13.2">
      <c r="D403" s="3"/>
      <c r="E403" s="3"/>
      <c r="F403" s="3"/>
      <c r="G403" s="3"/>
    </row>
    <row r="404" spans="4:7" ht="13.2">
      <c r="D404" s="3"/>
      <c r="E404" s="3"/>
      <c r="F404" s="3"/>
      <c r="G404" s="3"/>
    </row>
    <row r="405" spans="4:7" ht="13.2">
      <c r="D405" s="3"/>
      <c r="E405" s="3"/>
      <c r="F405" s="3"/>
      <c r="G405" s="3"/>
    </row>
    <row r="406" spans="4:7" ht="13.2">
      <c r="D406" s="3"/>
      <c r="E406" s="3"/>
      <c r="F406" s="3"/>
      <c r="G406" s="3"/>
    </row>
    <row r="407" spans="4:7" ht="13.2">
      <c r="D407" s="3"/>
      <c r="E407" s="3"/>
      <c r="F407" s="3"/>
      <c r="G407" s="3"/>
    </row>
    <row r="408" spans="4:7" ht="13.2">
      <c r="D408" s="3"/>
      <c r="E408" s="3"/>
      <c r="F408" s="3"/>
      <c r="G408" s="3"/>
    </row>
    <row r="409" spans="4:7" ht="13.2">
      <c r="D409" s="3"/>
      <c r="E409" s="3"/>
      <c r="F409" s="3"/>
      <c r="G409" s="3"/>
    </row>
    <row r="410" spans="4:7" ht="13.2">
      <c r="D410" s="3"/>
      <c r="E410" s="3"/>
      <c r="F410" s="3"/>
      <c r="G410" s="3"/>
    </row>
    <row r="411" spans="4:7" ht="13.2">
      <c r="D411" s="3"/>
      <c r="E411" s="3"/>
      <c r="F411" s="3"/>
      <c r="G411" s="3"/>
    </row>
    <row r="412" spans="4:7" ht="13.2">
      <c r="D412" s="3"/>
      <c r="E412" s="3"/>
      <c r="F412" s="3"/>
      <c r="G412" s="3"/>
    </row>
    <row r="413" spans="4:7" ht="13.2">
      <c r="D413" s="3"/>
      <c r="E413" s="3"/>
      <c r="F413" s="3"/>
      <c r="G413" s="3"/>
    </row>
    <row r="414" spans="4:7" ht="13.2">
      <c r="D414" s="3"/>
      <c r="E414" s="3"/>
      <c r="F414" s="3"/>
      <c r="G414" s="3"/>
    </row>
    <row r="415" spans="4:7" ht="13.2">
      <c r="D415" s="3"/>
      <c r="E415" s="3"/>
      <c r="F415" s="3"/>
      <c r="G415" s="3"/>
    </row>
    <row r="416" spans="4:7" ht="13.2">
      <c r="D416" s="3"/>
      <c r="E416" s="3"/>
      <c r="F416" s="3"/>
      <c r="G416" s="3"/>
    </row>
    <row r="417" spans="4:7" ht="13.2">
      <c r="D417" s="3"/>
      <c r="E417" s="3"/>
      <c r="F417" s="3"/>
      <c r="G417" s="3"/>
    </row>
    <row r="418" spans="4:7" ht="13.2">
      <c r="D418" s="3"/>
      <c r="E418" s="3"/>
      <c r="F418" s="3"/>
      <c r="G418" s="3"/>
    </row>
    <row r="419" spans="4:7" ht="13.2">
      <c r="D419" s="3"/>
      <c r="E419" s="3"/>
      <c r="F419" s="3"/>
      <c r="G419" s="3"/>
    </row>
    <row r="420" spans="4:7" ht="13.2">
      <c r="D420" s="3"/>
      <c r="E420" s="3"/>
      <c r="F420" s="3"/>
      <c r="G420" s="3"/>
    </row>
    <row r="421" spans="4:7" ht="13.2">
      <c r="D421" s="3"/>
      <c r="E421" s="3"/>
      <c r="F421" s="3"/>
      <c r="G421" s="3"/>
    </row>
    <row r="422" spans="4:7" ht="13.2">
      <c r="D422" s="3"/>
      <c r="E422" s="3"/>
      <c r="F422" s="3"/>
      <c r="G422" s="3"/>
    </row>
    <row r="423" spans="4:7" ht="13.2">
      <c r="D423" s="3"/>
      <c r="E423" s="3"/>
      <c r="F423" s="3"/>
      <c r="G423" s="3"/>
    </row>
    <row r="424" spans="4:7" ht="13.2">
      <c r="D424" s="3"/>
      <c r="E424" s="3"/>
      <c r="F424" s="3"/>
      <c r="G424" s="3"/>
    </row>
    <row r="425" spans="4:7" ht="13.2">
      <c r="D425" s="3"/>
      <c r="E425" s="3"/>
      <c r="F425" s="3"/>
      <c r="G425" s="3"/>
    </row>
    <row r="426" spans="4:7" ht="13.2">
      <c r="D426" s="3"/>
      <c r="E426" s="3"/>
      <c r="F426" s="3"/>
      <c r="G426" s="3"/>
    </row>
    <row r="427" spans="4:7" ht="13.2">
      <c r="D427" s="3"/>
      <c r="E427" s="3"/>
      <c r="F427" s="3"/>
      <c r="G427" s="3"/>
    </row>
    <row r="428" spans="4:7" ht="13.2">
      <c r="D428" s="3"/>
      <c r="E428" s="3"/>
      <c r="F428" s="3"/>
      <c r="G428" s="3"/>
    </row>
    <row r="429" spans="4:7" ht="13.2">
      <c r="D429" s="3"/>
      <c r="E429" s="3"/>
      <c r="F429" s="3"/>
      <c r="G429" s="3"/>
    </row>
    <row r="430" spans="4:7" ht="13.2">
      <c r="D430" s="3"/>
      <c r="E430" s="3"/>
      <c r="F430" s="3"/>
      <c r="G430" s="3"/>
    </row>
    <row r="431" spans="4:7" ht="13.2">
      <c r="D431" s="3"/>
      <c r="E431" s="3"/>
      <c r="F431" s="3"/>
      <c r="G431" s="3"/>
    </row>
    <row r="432" spans="4:7" ht="13.2">
      <c r="D432" s="3"/>
      <c r="E432" s="3"/>
      <c r="F432" s="3"/>
      <c r="G432" s="3"/>
    </row>
    <row r="433" spans="4:7" ht="13.2">
      <c r="D433" s="3"/>
      <c r="E433" s="3"/>
      <c r="F433" s="3"/>
      <c r="G433" s="3"/>
    </row>
    <row r="434" spans="4:7" ht="13.2">
      <c r="D434" s="3"/>
      <c r="E434" s="3"/>
      <c r="F434" s="3"/>
      <c r="G434" s="3"/>
    </row>
    <row r="435" spans="4:7" ht="13.2">
      <c r="D435" s="3"/>
      <c r="E435" s="3"/>
      <c r="F435" s="3"/>
      <c r="G435" s="3"/>
    </row>
    <row r="436" spans="4:7" ht="13.2">
      <c r="D436" s="3"/>
      <c r="E436" s="3"/>
      <c r="F436" s="3"/>
      <c r="G436" s="3"/>
    </row>
    <row r="437" spans="4:7" ht="13.2">
      <c r="D437" s="3"/>
      <c r="E437" s="3"/>
      <c r="F437" s="3"/>
      <c r="G437" s="3"/>
    </row>
    <row r="438" spans="4:7" ht="13.2">
      <c r="D438" s="3"/>
      <c r="E438" s="3"/>
      <c r="F438" s="3"/>
      <c r="G438" s="3"/>
    </row>
    <row r="439" spans="4:7" ht="13.2">
      <c r="D439" s="3"/>
      <c r="E439" s="3"/>
      <c r="F439" s="3"/>
      <c r="G439" s="3"/>
    </row>
    <row r="440" spans="4:7" ht="13.2">
      <c r="D440" s="3"/>
      <c r="E440" s="3"/>
      <c r="F440" s="3"/>
      <c r="G440" s="3"/>
    </row>
    <row r="441" spans="4:7" ht="13.2">
      <c r="D441" s="3"/>
      <c r="E441" s="3"/>
      <c r="F441" s="3"/>
      <c r="G441" s="3"/>
    </row>
    <row r="442" spans="4:7" ht="13.2">
      <c r="D442" s="3"/>
      <c r="E442" s="3"/>
      <c r="F442" s="3"/>
      <c r="G442" s="3"/>
    </row>
    <row r="443" spans="4:7" ht="13.2">
      <c r="D443" s="3"/>
      <c r="E443" s="3"/>
      <c r="F443" s="3"/>
      <c r="G443" s="3"/>
    </row>
    <row r="444" spans="4:7" ht="13.2">
      <c r="D444" s="3"/>
      <c r="E444" s="3"/>
      <c r="F444" s="3"/>
      <c r="G444" s="3"/>
    </row>
    <row r="445" spans="4:7" ht="13.2">
      <c r="D445" s="3"/>
      <c r="E445" s="3"/>
      <c r="F445" s="3"/>
      <c r="G445" s="3"/>
    </row>
    <row r="446" spans="4:7" ht="13.2">
      <c r="D446" s="3"/>
      <c r="E446" s="3"/>
      <c r="F446" s="3"/>
      <c r="G446" s="3"/>
    </row>
    <row r="447" spans="4:7" ht="13.2">
      <c r="D447" s="3"/>
      <c r="E447" s="3"/>
      <c r="F447" s="3"/>
      <c r="G447" s="3"/>
    </row>
    <row r="448" spans="4:7" ht="13.2">
      <c r="D448" s="3"/>
      <c r="E448" s="3"/>
      <c r="F448" s="3"/>
      <c r="G448" s="3"/>
    </row>
    <row r="449" spans="4:7" ht="13.2">
      <c r="D449" s="3"/>
      <c r="E449" s="3"/>
      <c r="F449" s="3"/>
      <c r="G449" s="3"/>
    </row>
    <row r="450" spans="4:7" ht="13.2">
      <c r="D450" s="3"/>
      <c r="E450" s="3"/>
      <c r="F450" s="3"/>
      <c r="G450" s="3"/>
    </row>
    <row r="451" spans="4:7" ht="13.2">
      <c r="D451" s="3"/>
      <c r="E451" s="3"/>
      <c r="F451" s="3"/>
      <c r="G451" s="3"/>
    </row>
    <row r="452" spans="4:7" ht="13.2">
      <c r="D452" s="3"/>
      <c r="E452" s="3"/>
      <c r="F452" s="3"/>
      <c r="G452" s="3"/>
    </row>
    <row r="453" spans="4:7" ht="13.2">
      <c r="D453" s="3"/>
      <c r="E453" s="3"/>
      <c r="F453" s="3"/>
      <c r="G453" s="3"/>
    </row>
    <row r="454" spans="4:7" ht="13.2">
      <c r="D454" s="3"/>
      <c r="E454" s="3"/>
      <c r="F454" s="3"/>
      <c r="G454" s="3"/>
    </row>
    <row r="455" spans="4:7" ht="13.2">
      <c r="D455" s="3"/>
      <c r="E455" s="3"/>
      <c r="F455" s="3"/>
      <c r="G455" s="3"/>
    </row>
    <row r="456" spans="4:7" ht="13.2">
      <c r="D456" s="3"/>
      <c r="E456" s="3"/>
      <c r="F456" s="3"/>
      <c r="G456" s="3"/>
    </row>
    <row r="457" spans="4:7" ht="13.2">
      <c r="D457" s="3"/>
      <c r="E457" s="3"/>
      <c r="F457" s="3"/>
      <c r="G457" s="3"/>
    </row>
    <row r="458" spans="4:7" ht="13.2">
      <c r="D458" s="3"/>
      <c r="E458" s="3"/>
      <c r="F458" s="3"/>
      <c r="G458" s="3"/>
    </row>
    <row r="459" spans="4:7" ht="13.2">
      <c r="D459" s="3"/>
      <c r="E459" s="3"/>
      <c r="F459" s="3"/>
      <c r="G459" s="3"/>
    </row>
    <row r="460" spans="4:7" ht="13.2">
      <c r="D460" s="3"/>
      <c r="E460" s="3"/>
      <c r="F460" s="3"/>
      <c r="G460" s="3"/>
    </row>
    <row r="461" spans="4:7" ht="13.2">
      <c r="D461" s="3"/>
      <c r="E461" s="3"/>
      <c r="F461" s="3"/>
      <c r="G461" s="3"/>
    </row>
    <row r="462" spans="4:7" ht="13.2">
      <c r="D462" s="3"/>
      <c r="E462" s="3"/>
      <c r="F462" s="3"/>
      <c r="G462" s="3"/>
    </row>
    <row r="463" spans="4:7" ht="13.2">
      <c r="D463" s="3"/>
      <c r="E463" s="3"/>
      <c r="F463" s="3"/>
      <c r="G463" s="3"/>
    </row>
    <row r="464" spans="4:7" ht="13.2">
      <c r="D464" s="3"/>
      <c r="E464" s="3"/>
      <c r="F464" s="3"/>
      <c r="G464" s="3"/>
    </row>
    <row r="465" spans="4:7" ht="13.2">
      <c r="D465" s="3"/>
      <c r="E465" s="3"/>
      <c r="F465" s="3"/>
      <c r="G465" s="3"/>
    </row>
    <row r="466" spans="4:7" ht="13.2">
      <c r="D466" s="3"/>
      <c r="E466" s="3"/>
      <c r="F466" s="3"/>
      <c r="G466" s="3"/>
    </row>
    <row r="467" spans="4:7" ht="13.2">
      <c r="D467" s="3"/>
      <c r="E467" s="3"/>
      <c r="F467" s="3"/>
      <c r="G467" s="3"/>
    </row>
    <row r="468" spans="4:7" ht="13.2">
      <c r="D468" s="3"/>
      <c r="E468" s="3"/>
      <c r="F468" s="3"/>
      <c r="G468" s="3"/>
    </row>
    <row r="469" spans="4:7" ht="13.2">
      <c r="D469" s="3"/>
      <c r="E469" s="3"/>
      <c r="F469" s="3"/>
      <c r="G469" s="3"/>
    </row>
    <row r="470" spans="4:7" ht="13.2">
      <c r="D470" s="3"/>
      <c r="E470" s="3"/>
      <c r="F470" s="3"/>
      <c r="G470" s="3"/>
    </row>
    <row r="471" spans="4:7" ht="13.2">
      <c r="D471" s="3"/>
      <c r="E471" s="3"/>
      <c r="F471" s="3"/>
      <c r="G471" s="3"/>
    </row>
    <row r="472" spans="4:7" ht="13.2">
      <c r="D472" s="3"/>
      <c r="E472" s="3"/>
      <c r="F472" s="3"/>
      <c r="G472" s="3"/>
    </row>
    <row r="473" spans="4:7" ht="13.2">
      <c r="D473" s="3"/>
      <c r="E473" s="3"/>
      <c r="F473" s="3"/>
      <c r="G473" s="3"/>
    </row>
    <row r="474" spans="4:7" ht="13.2">
      <c r="D474" s="3"/>
      <c r="E474" s="3"/>
      <c r="F474" s="3"/>
      <c r="G474" s="3"/>
    </row>
    <row r="475" spans="4:7" ht="13.2">
      <c r="D475" s="3"/>
      <c r="E475" s="3"/>
      <c r="F475" s="3"/>
      <c r="G475" s="3"/>
    </row>
    <row r="476" spans="4:7" ht="13.2">
      <c r="D476" s="3"/>
      <c r="E476" s="3"/>
      <c r="F476" s="3"/>
      <c r="G476" s="3"/>
    </row>
    <row r="477" spans="4:7" ht="13.2">
      <c r="D477" s="3"/>
      <c r="E477" s="3"/>
      <c r="F477" s="3"/>
      <c r="G477" s="3"/>
    </row>
    <row r="478" spans="4:7" ht="13.2">
      <c r="D478" s="3"/>
      <c r="E478" s="3"/>
      <c r="F478" s="3"/>
      <c r="G478" s="3"/>
    </row>
    <row r="479" spans="4:7" ht="13.2">
      <c r="D479" s="3"/>
      <c r="E479" s="3"/>
      <c r="F479" s="3"/>
      <c r="G479" s="3"/>
    </row>
    <row r="480" spans="4:7" ht="13.2">
      <c r="D480" s="3"/>
      <c r="E480" s="3"/>
      <c r="F480" s="3"/>
      <c r="G480" s="3"/>
    </row>
    <row r="481" spans="4:7" ht="13.2">
      <c r="D481" s="3"/>
      <c r="E481" s="3"/>
      <c r="F481" s="3"/>
      <c r="G481" s="3"/>
    </row>
    <row r="482" spans="4:7" ht="13.2">
      <c r="D482" s="3"/>
      <c r="E482" s="3"/>
      <c r="F482" s="3"/>
      <c r="G482" s="3"/>
    </row>
    <row r="483" spans="4:7" ht="13.2">
      <c r="D483" s="3"/>
      <c r="E483" s="3"/>
      <c r="F483" s="3"/>
      <c r="G483" s="3"/>
    </row>
    <row r="484" spans="4:7" ht="13.2">
      <c r="D484" s="3"/>
      <c r="E484" s="3"/>
      <c r="F484" s="3"/>
      <c r="G484" s="3"/>
    </row>
    <row r="485" spans="4:7" ht="13.2">
      <c r="D485" s="3"/>
      <c r="E485" s="3"/>
      <c r="F485" s="3"/>
      <c r="G485" s="3"/>
    </row>
    <row r="486" spans="4:7" ht="13.2">
      <c r="D486" s="3"/>
      <c r="E486" s="3"/>
      <c r="F486" s="3"/>
      <c r="G486" s="3"/>
    </row>
    <row r="487" spans="4:7" ht="13.2">
      <c r="D487" s="3"/>
      <c r="E487" s="3"/>
      <c r="F487" s="3"/>
      <c r="G487" s="3"/>
    </row>
    <row r="488" spans="4:7" ht="13.2">
      <c r="D488" s="3"/>
      <c r="E488" s="3"/>
      <c r="F488" s="3"/>
      <c r="G488" s="3"/>
    </row>
    <row r="489" spans="4:7" ht="13.2">
      <c r="D489" s="3"/>
      <c r="E489" s="3"/>
      <c r="F489" s="3"/>
      <c r="G489" s="3"/>
    </row>
    <row r="490" spans="4:7" ht="13.2">
      <c r="D490" s="3"/>
      <c r="E490" s="3"/>
      <c r="F490" s="3"/>
      <c r="G490" s="3"/>
    </row>
    <row r="491" spans="4:7" ht="13.2">
      <c r="D491" s="3"/>
      <c r="E491" s="3"/>
      <c r="F491" s="3"/>
      <c r="G491" s="3"/>
    </row>
    <row r="492" spans="4:7" ht="13.2">
      <c r="D492" s="3"/>
      <c r="E492" s="3"/>
      <c r="F492" s="3"/>
      <c r="G492" s="3"/>
    </row>
    <row r="493" spans="4:7" ht="13.2">
      <c r="D493" s="3"/>
      <c r="E493" s="3"/>
      <c r="F493" s="3"/>
      <c r="G493" s="3"/>
    </row>
    <row r="494" spans="4:7" ht="13.2">
      <c r="D494" s="3"/>
      <c r="E494" s="3"/>
      <c r="F494" s="3"/>
      <c r="G494" s="3"/>
    </row>
    <row r="495" spans="4:7" ht="13.2">
      <c r="D495" s="3"/>
      <c r="E495" s="3"/>
      <c r="F495" s="3"/>
      <c r="G495" s="3"/>
    </row>
    <row r="496" spans="4:7" ht="13.2">
      <c r="D496" s="3"/>
      <c r="E496" s="3"/>
      <c r="F496" s="3"/>
      <c r="G496" s="3"/>
    </row>
    <row r="497" spans="4:7" ht="13.2">
      <c r="D497" s="3"/>
      <c r="E497" s="3"/>
      <c r="F497" s="3"/>
      <c r="G497" s="3"/>
    </row>
    <row r="498" spans="4:7" ht="13.2">
      <c r="D498" s="3"/>
      <c r="E498" s="3"/>
      <c r="F498" s="3"/>
      <c r="G498" s="3"/>
    </row>
    <row r="499" spans="4:7" ht="13.2">
      <c r="D499" s="3"/>
      <c r="E499" s="3"/>
      <c r="F499" s="3"/>
      <c r="G499" s="3"/>
    </row>
    <row r="500" spans="4:7" ht="13.2">
      <c r="D500" s="3"/>
      <c r="E500" s="3"/>
      <c r="F500" s="3"/>
      <c r="G500" s="3"/>
    </row>
    <row r="501" spans="4:7" ht="13.2">
      <c r="D501" s="3"/>
      <c r="E501" s="3"/>
      <c r="F501" s="3"/>
      <c r="G501" s="3"/>
    </row>
    <row r="502" spans="4:7" ht="13.2">
      <c r="D502" s="3"/>
      <c r="E502" s="3"/>
      <c r="F502" s="3"/>
      <c r="G502" s="3"/>
    </row>
    <row r="503" spans="4:7" ht="13.2">
      <c r="D503" s="3"/>
      <c r="E503" s="3"/>
      <c r="F503" s="3"/>
      <c r="G503" s="3"/>
    </row>
    <row r="504" spans="4:7" ht="13.2">
      <c r="D504" s="3"/>
      <c r="E504" s="3"/>
      <c r="F504" s="3"/>
      <c r="G504" s="3"/>
    </row>
    <row r="505" spans="4:7" ht="13.2">
      <c r="D505" s="3"/>
      <c r="E505" s="3"/>
      <c r="F505" s="3"/>
      <c r="G505" s="3"/>
    </row>
    <row r="506" spans="4:7" ht="13.2">
      <c r="D506" s="3"/>
      <c r="E506" s="3"/>
      <c r="F506" s="3"/>
      <c r="G506" s="3"/>
    </row>
    <row r="507" spans="4:7" ht="13.2">
      <c r="D507" s="3"/>
      <c r="E507" s="3"/>
      <c r="F507" s="3"/>
      <c r="G507" s="3"/>
    </row>
    <row r="508" spans="4:7" ht="13.2">
      <c r="D508" s="3"/>
      <c r="E508" s="3"/>
      <c r="F508" s="3"/>
      <c r="G508" s="3"/>
    </row>
    <row r="509" spans="4:7" ht="13.2">
      <c r="D509" s="3"/>
      <c r="E509" s="3"/>
      <c r="F509" s="3"/>
      <c r="G509" s="3"/>
    </row>
    <row r="510" spans="4:7" ht="13.2">
      <c r="D510" s="3"/>
      <c r="E510" s="3"/>
      <c r="F510" s="3"/>
      <c r="G510" s="3"/>
    </row>
    <row r="511" spans="4:7" ht="13.2">
      <c r="D511" s="3"/>
      <c r="E511" s="3"/>
      <c r="F511" s="3"/>
      <c r="G511" s="3"/>
    </row>
    <row r="512" spans="4:7" ht="13.2">
      <c r="D512" s="3"/>
      <c r="E512" s="3"/>
      <c r="F512" s="3"/>
      <c r="G512" s="3"/>
    </row>
    <row r="513" spans="4:7" ht="13.2">
      <c r="D513" s="3"/>
      <c r="E513" s="3"/>
      <c r="F513" s="3"/>
      <c r="G513" s="3"/>
    </row>
    <row r="514" spans="4:7" ht="13.2">
      <c r="D514" s="3"/>
      <c r="E514" s="3"/>
      <c r="F514" s="3"/>
      <c r="G514" s="3"/>
    </row>
    <row r="515" spans="4:7" ht="13.2">
      <c r="D515" s="3"/>
      <c r="E515" s="3"/>
      <c r="F515" s="3"/>
      <c r="G515" s="3"/>
    </row>
    <row r="516" spans="4:7" ht="13.2">
      <c r="D516" s="3"/>
      <c r="E516" s="3"/>
      <c r="F516" s="3"/>
      <c r="G516" s="3"/>
    </row>
    <row r="517" spans="4:7" ht="13.2">
      <c r="D517" s="3"/>
      <c r="E517" s="3"/>
      <c r="F517" s="3"/>
      <c r="G517" s="3"/>
    </row>
    <row r="518" spans="4:7" ht="13.2">
      <c r="D518" s="3"/>
      <c r="E518" s="3"/>
      <c r="F518" s="3"/>
      <c r="G518" s="3"/>
    </row>
    <row r="519" spans="4:7" ht="13.2">
      <c r="D519" s="3"/>
      <c r="E519" s="3"/>
      <c r="F519" s="3"/>
      <c r="G519" s="3"/>
    </row>
    <row r="520" spans="4:7" ht="13.2">
      <c r="D520" s="3"/>
      <c r="E520" s="3"/>
      <c r="F520" s="3"/>
      <c r="G520" s="3"/>
    </row>
    <row r="521" spans="4:7" ht="13.2">
      <c r="D521" s="3"/>
      <c r="E521" s="3"/>
      <c r="F521" s="3"/>
      <c r="G521" s="3"/>
    </row>
    <row r="522" spans="4:7" ht="13.2">
      <c r="D522" s="3"/>
      <c r="E522" s="3"/>
      <c r="F522" s="3"/>
      <c r="G522" s="3"/>
    </row>
    <row r="523" spans="4:7" ht="13.2">
      <c r="D523" s="3"/>
      <c r="E523" s="3"/>
      <c r="F523" s="3"/>
      <c r="G523" s="3"/>
    </row>
    <row r="524" spans="4:7" ht="13.2">
      <c r="D524" s="3"/>
      <c r="E524" s="3"/>
      <c r="F524" s="3"/>
      <c r="G524" s="3"/>
    </row>
    <row r="525" spans="4:7" ht="13.2">
      <c r="D525" s="3"/>
      <c r="E525" s="3"/>
      <c r="F525" s="3"/>
      <c r="G525" s="3"/>
    </row>
    <row r="526" spans="4:7" ht="13.2">
      <c r="D526" s="3"/>
      <c r="E526" s="3"/>
      <c r="F526" s="3"/>
      <c r="G526" s="3"/>
    </row>
    <row r="527" spans="4:7" ht="13.2">
      <c r="D527" s="3"/>
      <c r="E527" s="3"/>
      <c r="F527" s="3"/>
      <c r="G527" s="3"/>
    </row>
    <row r="528" spans="4:7" ht="13.2">
      <c r="D528" s="3"/>
      <c r="E528" s="3"/>
      <c r="F528" s="3"/>
      <c r="G528" s="3"/>
    </row>
    <row r="529" spans="4:7" ht="13.2">
      <c r="D529" s="3"/>
      <c r="E529" s="3"/>
      <c r="F529" s="3"/>
      <c r="G529" s="3"/>
    </row>
    <row r="530" spans="4:7" ht="13.2">
      <c r="D530" s="3"/>
      <c r="E530" s="3"/>
      <c r="F530" s="3"/>
      <c r="G530" s="3"/>
    </row>
    <row r="531" spans="4:7" ht="13.2">
      <c r="D531" s="3"/>
      <c r="E531" s="3"/>
      <c r="F531" s="3"/>
      <c r="G531" s="3"/>
    </row>
    <row r="532" spans="4:7" ht="13.2">
      <c r="D532" s="3"/>
      <c r="E532" s="3"/>
      <c r="F532" s="3"/>
      <c r="G532" s="3"/>
    </row>
    <row r="533" spans="4:7" ht="13.2">
      <c r="D533" s="3"/>
      <c r="E533" s="3"/>
      <c r="F533" s="3"/>
      <c r="G533" s="3"/>
    </row>
    <row r="534" spans="4:7" ht="13.2">
      <c r="D534" s="3"/>
      <c r="E534" s="3"/>
      <c r="F534" s="3"/>
      <c r="G534" s="3"/>
    </row>
    <row r="535" spans="4:7" ht="13.2">
      <c r="D535" s="3"/>
      <c r="E535" s="3"/>
      <c r="F535" s="3"/>
      <c r="G535" s="3"/>
    </row>
    <row r="536" spans="4:7" ht="13.2">
      <c r="D536" s="3"/>
      <c r="E536" s="3"/>
      <c r="F536" s="3"/>
      <c r="G536" s="3"/>
    </row>
    <row r="537" spans="4:7" ht="13.2">
      <c r="D537" s="3"/>
      <c r="E537" s="3"/>
      <c r="F537" s="3"/>
      <c r="G537" s="3"/>
    </row>
    <row r="538" spans="4:7" ht="13.2">
      <c r="D538" s="3"/>
      <c r="E538" s="3"/>
      <c r="F538" s="3"/>
      <c r="G538" s="3"/>
    </row>
    <row r="539" spans="4:7" ht="13.2">
      <c r="D539" s="3"/>
      <c r="E539" s="3"/>
      <c r="F539" s="3"/>
      <c r="G539" s="3"/>
    </row>
    <row r="540" spans="4:7" ht="13.2">
      <c r="D540" s="3"/>
      <c r="E540" s="3"/>
      <c r="F540" s="3"/>
      <c r="G540" s="3"/>
    </row>
    <row r="541" spans="4:7" ht="13.2">
      <c r="D541" s="3"/>
      <c r="E541" s="3"/>
      <c r="F541" s="3"/>
      <c r="G541" s="3"/>
    </row>
    <row r="542" spans="4:7" ht="13.2">
      <c r="D542" s="3"/>
      <c r="E542" s="3"/>
      <c r="F542" s="3"/>
      <c r="G542" s="3"/>
    </row>
    <row r="543" spans="4:7" ht="13.2">
      <c r="D543" s="3"/>
      <c r="E543" s="3"/>
      <c r="F543" s="3"/>
      <c r="G543" s="3"/>
    </row>
    <row r="544" spans="4:7" ht="13.2">
      <c r="D544" s="3"/>
      <c r="E544" s="3"/>
      <c r="F544" s="3"/>
      <c r="G544" s="3"/>
    </row>
    <row r="545" spans="4:7" ht="13.2">
      <c r="D545" s="3"/>
      <c r="E545" s="3"/>
      <c r="F545" s="3"/>
      <c r="G545" s="3"/>
    </row>
    <row r="546" spans="4:7" ht="13.2">
      <c r="D546" s="3"/>
      <c r="E546" s="3"/>
      <c r="F546" s="3"/>
      <c r="G546" s="3"/>
    </row>
    <row r="547" spans="4:7" ht="13.2">
      <c r="D547" s="3"/>
      <c r="E547" s="3"/>
      <c r="F547" s="3"/>
      <c r="G547" s="3"/>
    </row>
    <row r="548" spans="4:7" ht="13.2">
      <c r="D548" s="3"/>
      <c r="E548" s="3"/>
      <c r="F548" s="3"/>
      <c r="G548" s="3"/>
    </row>
    <row r="549" spans="4:7" ht="13.2">
      <c r="D549" s="3"/>
      <c r="E549" s="3"/>
      <c r="F549" s="3"/>
      <c r="G549" s="3"/>
    </row>
    <row r="550" spans="4:7" ht="13.2">
      <c r="D550" s="3"/>
      <c r="E550" s="3"/>
      <c r="F550" s="3"/>
      <c r="G550" s="3"/>
    </row>
    <row r="551" spans="4:7" ht="13.2">
      <c r="D551" s="3"/>
      <c r="E551" s="3"/>
      <c r="F551" s="3"/>
      <c r="G551" s="3"/>
    </row>
    <row r="552" spans="4:7" ht="13.2">
      <c r="D552" s="3"/>
      <c r="E552" s="3"/>
      <c r="F552" s="3"/>
      <c r="G552" s="3"/>
    </row>
    <row r="553" spans="4:7" ht="13.2">
      <c r="D553" s="3"/>
      <c r="E553" s="3"/>
      <c r="F553" s="3"/>
      <c r="G553" s="3"/>
    </row>
    <row r="554" spans="4:7" ht="13.2">
      <c r="D554" s="3"/>
      <c r="E554" s="3"/>
      <c r="F554" s="3"/>
      <c r="G554" s="3"/>
    </row>
    <row r="555" spans="4:7" ht="13.2">
      <c r="D555" s="3"/>
      <c r="E555" s="3"/>
      <c r="F555" s="3"/>
      <c r="G555" s="3"/>
    </row>
    <row r="556" spans="4:7" ht="13.2">
      <c r="D556" s="3"/>
      <c r="E556" s="3"/>
      <c r="F556" s="3"/>
      <c r="G556" s="3"/>
    </row>
    <row r="557" spans="4:7" ht="13.2">
      <c r="D557" s="3"/>
      <c r="E557" s="3"/>
      <c r="F557" s="3"/>
      <c r="G557" s="3"/>
    </row>
    <row r="558" spans="4:7" ht="13.2">
      <c r="D558" s="3"/>
      <c r="E558" s="3"/>
      <c r="F558" s="3"/>
      <c r="G558" s="3"/>
    </row>
    <row r="559" spans="4:7" ht="13.2">
      <c r="D559" s="3"/>
      <c r="E559" s="3"/>
      <c r="F559" s="3"/>
      <c r="G559" s="3"/>
    </row>
    <row r="560" spans="4:7" ht="13.2">
      <c r="D560" s="3"/>
      <c r="E560" s="3"/>
      <c r="F560" s="3"/>
      <c r="G560" s="3"/>
    </row>
    <row r="561" spans="4:7" ht="13.2">
      <c r="D561" s="3"/>
      <c r="E561" s="3"/>
      <c r="F561" s="3"/>
      <c r="G561" s="3"/>
    </row>
    <row r="562" spans="4:7" ht="13.2">
      <c r="D562" s="3"/>
      <c r="E562" s="3"/>
      <c r="F562" s="3"/>
      <c r="G562" s="3"/>
    </row>
    <row r="563" spans="4:7" ht="13.2">
      <c r="D563" s="3"/>
      <c r="E563" s="3"/>
      <c r="F563" s="3"/>
      <c r="G563" s="3"/>
    </row>
    <row r="564" spans="4:7" ht="13.2">
      <c r="D564" s="3"/>
      <c r="E564" s="3"/>
      <c r="F564" s="3"/>
      <c r="G564" s="3"/>
    </row>
    <row r="565" spans="4:7" ht="13.2">
      <c r="D565" s="3"/>
      <c r="E565" s="3"/>
      <c r="F565" s="3"/>
      <c r="G565" s="3"/>
    </row>
    <row r="566" spans="4:7" ht="13.2">
      <c r="D566" s="3"/>
      <c r="E566" s="3"/>
      <c r="F566" s="3"/>
      <c r="G566" s="3"/>
    </row>
    <row r="567" spans="4:7" ht="13.2">
      <c r="D567" s="3"/>
      <c r="E567" s="3"/>
      <c r="F567" s="3"/>
      <c r="G567" s="3"/>
    </row>
    <row r="568" spans="4:7" ht="13.2">
      <c r="D568" s="3"/>
      <c r="E568" s="3"/>
      <c r="F568" s="3"/>
      <c r="G568" s="3"/>
    </row>
    <row r="569" spans="4:7" ht="13.2">
      <c r="D569" s="3"/>
      <c r="E569" s="3"/>
      <c r="F569" s="3"/>
      <c r="G569" s="3"/>
    </row>
    <row r="570" spans="4:7" ht="13.2">
      <c r="D570" s="3"/>
      <c r="E570" s="3"/>
      <c r="F570" s="3"/>
      <c r="G570" s="3"/>
    </row>
    <row r="571" spans="4:7" ht="13.2">
      <c r="D571" s="3"/>
      <c r="E571" s="3"/>
      <c r="F571" s="3"/>
      <c r="G571" s="3"/>
    </row>
    <row r="572" spans="4:7" ht="13.2">
      <c r="D572" s="3"/>
      <c r="E572" s="3"/>
      <c r="F572" s="3"/>
      <c r="G572" s="3"/>
    </row>
    <row r="573" spans="4:7" ht="13.2">
      <c r="D573" s="3"/>
      <c r="E573" s="3"/>
      <c r="F573" s="3"/>
      <c r="G573" s="3"/>
    </row>
    <row r="574" spans="4:7" ht="13.2">
      <c r="D574" s="3"/>
      <c r="E574" s="3"/>
      <c r="F574" s="3"/>
      <c r="G574" s="3"/>
    </row>
    <row r="575" spans="4:7" ht="13.2">
      <c r="D575" s="3"/>
      <c r="E575" s="3"/>
      <c r="F575" s="3"/>
      <c r="G575" s="3"/>
    </row>
    <row r="576" spans="4:7" ht="13.2">
      <c r="D576" s="3"/>
      <c r="E576" s="3"/>
      <c r="F576" s="3"/>
      <c r="G576" s="3"/>
    </row>
    <row r="577" spans="4:7" ht="13.2">
      <c r="D577" s="3"/>
      <c r="E577" s="3"/>
      <c r="F577" s="3"/>
      <c r="G577" s="3"/>
    </row>
    <row r="578" spans="4:7" ht="13.2">
      <c r="D578" s="3"/>
      <c r="E578" s="3"/>
      <c r="F578" s="3"/>
      <c r="G578" s="3"/>
    </row>
    <row r="579" spans="4:7" ht="13.2">
      <c r="D579" s="3"/>
      <c r="E579" s="3"/>
      <c r="F579" s="3"/>
      <c r="G579" s="3"/>
    </row>
    <row r="580" spans="4:7" ht="13.2">
      <c r="D580" s="3"/>
      <c r="E580" s="3"/>
      <c r="F580" s="3"/>
      <c r="G580" s="3"/>
    </row>
    <row r="581" spans="4:7" ht="13.2">
      <c r="D581" s="3"/>
      <c r="E581" s="3"/>
      <c r="F581" s="3"/>
      <c r="G581" s="3"/>
    </row>
    <row r="582" spans="4:7" ht="13.2">
      <c r="D582" s="3"/>
      <c r="E582" s="3"/>
      <c r="F582" s="3"/>
      <c r="G582" s="3"/>
    </row>
    <row r="583" spans="4:7" ht="13.2">
      <c r="D583" s="3"/>
      <c r="E583" s="3"/>
      <c r="F583" s="3"/>
      <c r="G583" s="3"/>
    </row>
    <row r="584" spans="4:7" ht="13.2">
      <c r="D584" s="3"/>
      <c r="E584" s="3"/>
      <c r="F584" s="3"/>
      <c r="G584" s="3"/>
    </row>
    <row r="585" spans="4:7" ht="13.2">
      <c r="D585" s="3"/>
      <c r="E585" s="3"/>
      <c r="F585" s="3"/>
      <c r="G585" s="3"/>
    </row>
    <row r="586" spans="4:7" ht="13.2">
      <c r="D586" s="3"/>
      <c r="E586" s="3"/>
      <c r="F586" s="3"/>
      <c r="G586" s="3"/>
    </row>
    <row r="587" spans="4:7" ht="13.2">
      <c r="D587" s="3"/>
      <c r="E587" s="3"/>
      <c r="F587" s="3"/>
      <c r="G587" s="3"/>
    </row>
    <row r="588" spans="4:7" ht="13.2">
      <c r="D588" s="3"/>
      <c r="E588" s="3"/>
      <c r="F588" s="3"/>
      <c r="G588" s="3"/>
    </row>
    <row r="589" spans="4:7" ht="13.2">
      <c r="D589" s="3"/>
      <c r="E589" s="3"/>
      <c r="F589" s="3"/>
      <c r="G589" s="3"/>
    </row>
    <row r="590" spans="4:7" ht="13.2">
      <c r="D590" s="3"/>
      <c r="E590" s="3"/>
      <c r="F590" s="3"/>
      <c r="G590" s="3"/>
    </row>
    <row r="591" spans="4:7" ht="13.2">
      <c r="D591" s="3"/>
      <c r="E591" s="3"/>
      <c r="F591" s="3"/>
      <c r="G591" s="3"/>
    </row>
    <row r="592" spans="4:7" ht="13.2">
      <c r="D592" s="3"/>
      <c r="E592" s="3"/>
      <c r="F592" s="3"/>
      <c r="G592" s="3"/>
    </row>
    <row r="593" spans="4:7" ht="13.2">
      <c r="D593" s="3"/>
      <c r="E593" s="3"/>
      <c r="F593" s="3"/>
      <c r="G593" s="3"/>
    </row>
    <row r="594" spans="4:7" ht="13.2">
      <c r="D594" s="3"/>
      <c r="E594" s="3"/>
      <c r="F594" s="3"/>
      <c r="G594" s="3"/>
    </row>
    <row r="595" spans="4:7" ht="13.2">
      <c r="D595" s="3"/>
      <c r="E595" s="3"/>
      <c r="F595" s="3"/>
      <c r="G595" s="3"/>
    </row>
    <row r="596" spans="4:7" ht="13.2">
      <c r="D596" s="3"/>
      <c r="E596" s="3"/>
      <c r="F596" s="3"/>
      <c r="G596" s="3"/>
    </row>
    <row r="597" spans="4:7" ht="13.2">
      <c r="D597" s="3"/>
      <c r="E597" s="3"/>
      <c r="F597" s="3"/>
      <c r="G597" s="3"/>
    </row>
    <row r="598" spans="4:7" ht="13.2">
      <c r="D598" s="3"/>
      <c r="E598" s="3"/>
      <c r="F598" s="3"/>
      <c r="G598" s="3"/>
    </row>
    <row r="599" spans="4:7" ht="13.2">
      <c r="D599" s="3"/>
      <c r="E599" s="3"/>
      <c r="F599" s="3"/>
      <c r="G599" s="3"/>
    </row>
    <row r="600" spans="4:7" ht="13.2">
      <c r="D600" s="3"/>
      <c r="E600" s="3"/>
      <c r="F600" s="3"/>
      <c r="G600" s="3"/>
    </row>
    <row r="601" spans="4:7" ht="13.2">
      <c r="D601" s="3"/>
      <c r="E601" s="3"/>
      <c r="F601" s="3"/>
      <c r="G601" s="3"/>
    </row>
    <row r="602" spans="4:7" ht="13.2">
      <c r="D602" s="3"/>
      <c r="E602" s="3"/>
      <c r="F602" s="3"/>
      <c r="G602" s="3"/>
    </row>
    <row r="603" spans="4:7" ht="13.2">
      <c r="D603" s="3"/>
      <c r="E603" s="3"/>
      <c r="F603" s="3"/>
      <c r="G603" s="3"/>
    </row>
    <row r="604" spans="4:7" ht="13.2">
      <c r="D604" s="3"/>
      <c r="E604" s="3"/>
      <c r="F604" s="3"/>
      <c r="G604" s="3"/>
    </row>
    <row r="605" spans="4:7" ht="13.2">
      <c r="D605" s="3"/>
      <c r="E605" s="3"/>
      <c r="F605" s="3"/>
      <c r="G605" s="3"/>
    </row>
    <row r="606" spans="4:7" ht="13.2">
      <c r="D606" s="3"/>
      <c r="E606" s="3"/>
      <c r="F606" s="3"/>
      <c r="G606" s="3"/>
    </row>
    <row r="607" spans="4:7" ht="13.2">
      <c r="D607" s="3"/>
      <c r="E607" s="3"/>
      <c r="F607" s="3"/>
      <c r="G607" s="3"/>
    </row>
    <row r="608" spans="4:7" ht="13.2">
      <c r="D608" s="3"/>
      <c r="E608" s="3"/>
      <c r="F608" s="3"/>
      <c r="G608" s="3"/>
    </row>
    <row r="609" spans="4:7" ht="13.2">
      <c r="D609" s="3"/>
      <c r="E609" s="3"/>
      <c r="F609" s="3"/>
      <c r="G609" s="3"/>
    </row>
    <row r="610" spans="4:7" ht="13.2">
      <c r="D610" s="3"/>
      <c r="E610" s="3"/>
      <c r="F610" s="3"/>
      <c r="G610" s="3"/>
    </row>
    <row r="611" spans="4:7" ht="13.2">
      <c r="D611" s="3"/>
      <c r="E611" s="3"/>
      <c r="F611" s="3"/>
      <c r="G611" s="3"/>
    </row>
    <row r="612" spans="4:7" ht="13.2">
      <c r="D612" s="3"/>
      <c r="E612" s="3"/>
      <c r="F612" s="3"/>
      <c r="G612" s="3"/>
    </row>
    <row r="613" spans="4:7" ht="13.2">
      <c r="D613" s="3"/>
      <c r="E613" s="3"/>
      <c r="F613" s="3"/>
      <c r="G613" s="3"/>
    </row>
    <row r="614" spans="4:7" ht="13.2">
      <c r="D614" s="3"/>
      <c r="E614" s="3"/>
      <c r="F614" s="3"/>
      <c r="G614" s="3"/>
    </row>
    <row r="615" spans="4:7" ht="13.2">
      <c r="D615" s="3"/>
      <c r="E615" s="3"/>
      <c r="F615" s="3"/>
      <c r="G615" s="3"/>
    </row>
    <row r="616" spans="4:7" ht="13.2">
      <c r="D616" s="3"/>
      <c r="E616" s="3"/>
      <c r="F616" s="3"/>
      <c r="G616" s="3"/>
    </row>
    <row r="617" spans="4:7" ht="13.2">
      <c r="D617" s="3"/>
      <c r="E617" s="3"/>
      <c r="F617" s="3"/>
      <c r="G617" s="3"/>
    </row>
    <row r="618" spans="4:7" ht="13.2">
      <c r="D618" s="3"/>
      <c r="E618" s="3"/>
      <c r="F618" s="3"/>
      <c r="G618" s="3"/>
    </row>
    <row r="619" spans="4:7" ht="13.2">
      <c r="D619" s="3"/>
      <c r="E619" s="3"/>
      <c r="F619" s="3"/>
      <c r="G619" s="3"/>
    </row>
    <row r="620" spans="4:7" ht="13.2">
      <c r="D620" s="3"/>
      <c r="E620" s="3"/>
      <c r="F620" s="3"/>
      <c r="G620" s="3"/>
    </row>
    <row r="621" spans="4:7" ht="13.2">
      <c r="D621" s="3"/>
      <c r="E621" s="3"/>
      <c r="F621" s="3"/>
      <c r="G621" s="3"/>
    </row>
    <row r="622" spans="4:7" ht="13.2">
      <c r="D622" s="3"/>
      <c r="E622" s="3"/>
      <c r="F622" s="3"/>
      <c r="G622" s="3"/>
    </row>
    <row r="623" spans="4:7" ht="13.2">
      <c r="D623" s="3"/>
      <c r="E623" s="3"/>
      <c r="F623" s="3"/>
      <c r="G623" s="3"/>
    </row>
    <row r="624" spans="4:7" ht="13.2">
      <c r="D624" s="3"/>
      <c r="E624" s="3"/>
      <c r="F624" s="3"/>
      <c r="G624" s="3"/>
    </row>
    <row r="625" spans="4:7" ht="13.2">
      <c r="D625" s="3"/>
      <c r="E625" s="3"/>
      <c r="F625" s="3"/>
      <c r="G625" s="3"/>
    </row>
    <row r="626" spans="4:7" ht="13.2">
      <c r="D626" s="3"/>
      <c r="E626" s="3"/>
      <c r="F626" s="3"/>
      <c r="G626" s="3"/>
    </row>
    <row r="627" spans="4:7" ht="13.2">
      <c r="D627" s="3"/>
      <c r="E627" s="3"/>
      <c r="F627" s="3"/>
      <c r="G627" s="3"/>
    </row>
    <row r="628" spans="4:7" ht="13.2">
      <c r="D628" s="3"/>
      <c r="E628" s="3"/>
      <c r="F628" s="3"/>
      <c r="G628" s="3"/>
    </row>
    <row r="629" spans="4:7" ht="13.2">
      <c r="D629" s="3"/>
      <c r="E629" s="3"/>
      <c r="F629" s="3"/>
      <c r="G629" s="3"/>
    </row>
    <row r="630" spans="4:7" ht="13.2">
      <c r="D630" s="3"/>
      <c r="E630" s="3"/>
      <c r="F630" s="3"/>
      <c r="G630" s="3"/>
    </row>
    <row r="631" spans="4:7" ht="13.2">
      <c r="D631" s="3"/>
      <c r="E631" s="3"/>
      <c r="F631" s="3"/>
      <c r="G631" s="3"/>
    </row>
    <row r="632" spans="4:7" ht="13.2">
      <c r="D632" s="3"/>
      <c r="E632" s="3"/>
      <c r="F632" s="3"/>
      <c r="G632" s="3"/>
    </row>
    <row r="633" spans="4:7" ht="13.2">
      <c r="D633" s="3"/>
      <c r="E633" s="3"/>
      <c r="F633" s="3"/>
      <c r="G633" s="3"/>
    </row>
    <row r="634" spans="4:7" ht="13.2">
      <c r="D634" s="3"/>
      <c r="E634" s="3"/>
      <c r="F634" s="3"/>
      <c r="G634" s="3"/>
    </row>
    <row r="635" spans="4:7" ht="13.2">
      <c r="D635" s="3"/>
      <c r="E635" s="3"/>
      <c r="F635" s="3"/>
      <c r="G635" s="3"/>
    </row>
    <row r="636" spans="4:7" ht="13.2">
      <c r="D636" s="3"/>
      <c r="E636" s="3"/>
      <c r="F636" s="3"/>
      <c r="G636" s="3"/>
    </row>
    <row r="637" spans="4:7" ht="13.2">
      <c r="D637" s="3"/>
      <c r="E637" s="3"/>
      <c r="F637" s="3"/>
      <c r="G637" s="3"/>
    </row>
    <row r="638" spans="4:7" ht="13.2">
      <c r="D638" s="3"/>
      <c r="E638" s="3"/>
      <c r="F638" s="3"/>
      <c r="G638" s="3"/>
    </row>
    <row r="639" spans="4:7" ht="13.2">
      <c r="D639" s="3"/>
      <c r="E639" s="3"/>
      <c r="F639" s="3"/>
      <c r="G639" s="3"/>
    </row>
    <row r="640" spans="4:7" ht="13.2">
      <c r="D640" s="3"/>
      <c r="E640" s="3"/>
      <c r="F640" s="3"/>
      <c r="G640" s="3"/>
    </row>
    <row r="641" spans="4:7" ht="13.2">
      <c r="D641" s="3"/>
      <c r="E641" s="3"/>
      <c r="F641" s="3"/>
      <c r="G641" s="3"/>
    </row>
    <row r="642" spans="4:7" ht="13.2">
      <c r="D642" s="3"/>
      <c r="E642" s="3"/>
      <c r="F642" s="3"/>
      <c r="G642" s="3"/>
    </row>
    <row r="643" spans="4:7" ht="13.2">
      <c r="D643" s="3"/>
      <c r="E643" s="3"/>
      <c r="F643" s="3"/>
      <c r="G643" s="3"/>
    </row>
    <row r="644" spans="4:7" ht="13.2">
      <c r="D644" s="3"/>
      <c r="E644" s="3"/>
      <c r="F644" s="3"/>
      <c r="G644" s="3"/>
    </row>
    <row r="645" spans="4:7" ht="13.2">
      <c r="D645" s="3"/>
      <c r="E645" s="3"/>
      <c r="F645" s="3"/>
      <c r="G645" s="3"/>
    </row>
    <row r="646" spans="4:7" ht="13.2">
      <c r="D646" s="3"/>
      <c r="E646" s="3"/>
      <c r="F646" s="3"/>
      <c r="G646" s="3"/>
    </row>
    <row r="647" spans="4:7" ht="13.2">
      <c r="D647" s="3"/>
      <c r="E647" s="3"/>
      <c r="F647" s="3"/>
      <c r="G647" s="3"/>
    </row>
    <row r="648" spans="4:7" ht="13.2">
      <c r="D648" s="3"/>
      <c r="E648" s="3"/>
      <c r="F648" s="3"/>
      <c r="G648" s="3"/>
    </row>
    <row r="649" spans="4:7" ht="13.2">
      <c r="D649" s="3"/>
      <c r="E649" s="3"/>
      <c r="F649" s="3"/>
      <c r="G649" s="3"/>
    </row>
    <row r="650" spans="4:7" ht="13.2">
      <c r="D650" s="3"/>
      <c r="E650" s="3"/>
      <c r="F650" s="3"/>
      <c r="G650" s="3"/>
    </row>
    <row r="651" spans="4:7" ht="13.2">
      <c r="D651" s="3"/>
      <c r="E651" s="3"/>
      <c r="F651" s="3"/>
      <c r="G651" s="3"/>
    </row>
    <row r="652" spans="4:7" ht="13.2">
      <c r="D652" s="3"/>
      <c r="E652" s="3"/>
      <c r="F652" s="3"/>
      <c r="G652" s="3"/>
    </row>
    <row r="653" spans="4:7" ht="13.2">
      <c r="D653" s="3"/>
      <c r="E653" s="3"/>
      <c r="F653" s="3"/>
      <c r="G653" s="3"/>
    </row>
    <row r="654" spans="4:7" ht="13.2">
      <c r="D654" s="3"/>
      <c r="E654" s="3"/>
      <c r="F654" s="3"/>
      <c r="G654" s="3"/>
    </row>
    <row r="655" spans="4:7" ht="13.2">
      <c r="D655" s="3"/>
      <c r="E655" s="3"/>
      <c r="F655" s="3"/>
      <c r="G655" s="3"/>
    </row>
    <row r="656" spans="4:7" ht="13.2">
      <c r="D656" s="3"/>
      <c r="E656" s="3"/>
      <c r="F656" s="3"/>
      <c r="G656" s="3"/>
    </row>
    <row r="657" spans="4:7" ht="13.2">
      <c r="D657" s="3"/>
      <c r="E657" s="3"/>
      <c r="F657" s="3"/>
      <c r="G657" s="3"/>
    </row>
    <row r="658" spans="4:7" ht="13.2">
      <c r="D658" s="3"/>
      <c r="E658" s="3"/>
      <c r="F658" s="3"/>
      <c r="G658" s="3"/>
    </row>
    <row r="659" spans="4:7" ht="13.2">
      <c r="D659" s="3"/>
      <c r="E659" s="3"/>
      <c r="F659" s="3"/>
      <c r="G659" s="3"/>
    </row>
    <row r="660" spans="4:7" ht="13.2">
      <c r="D660" s="3"/>
      <c r="E660" s="3"/>
      <c r="F660" s="3"/>
      <c r="G660" s="3"/>
    </row>
    <row r="661" spans="4:7" ht="13.2">
      <c r="D661" s="3"/>
      <c r="E661" s="3"/>
      <c r="F661" s="3"/>
      <c r="G661" s="3"/>
    </row>
    <row r="662" spans="4:7" ht="13.2">
      <c r="D662" s="3"/>
      <c r="E662" s="3"/>
      <c r="F662" s="3"/>
      <c r="G662" s="3"/>
    </row>
    <row r="663" spans="4:7" ht="13.2">
      <c r="D663" s="3"/>
      <c r="E663" s="3"/>
      <c r="F663" s="3"/>
      <c r="G663" s="3"/>
    </row>
    <row r="664" spans="4:7" ht="13.2">
      <c r="D664" s="3"/>
      <c r="E664" s="3"/>
      <c r="F664" s="3"/>
      <c r="G664" s="3"/>
    </row>
    <row r="665" spans="4:7" ht="13.2">
      <c r="D665" s="3"/>
      <c r="E665" s="3"/>
      <c r="F665" s="3"/>
      <c r="G665" s="3"/>
    </row>
    <row r="666" spans="4:7" ht="13.2">
      <c r="D666" s="3"/>
      <c r="E666" s="3"/>
      <c r="F666" s="3"/>
      <c r="G666" s="3"/>
    </row>
    <row r="667" spans="4:7" ht="13.2">
      <c r="D667" s="3"/>
      <c r="E667" s="3"/>
      <c r="F667" s="3"/>
      <c r="G667" s="3"/>
    </row>
    <row r="668" spans="4:7" ht="13.2">
      <c r="D668" s="3"/>
      <c r="E668" s="3"/>
      <c r="F668" s="3"/>
      <c r="G668" s="3"/>
    </row>
    <row r="669" spans="4:7" ht="13.2">
      <c r="D669" s="3"/>
      <c r="E669" s="3"/>
      <c r="F669" s="3"/>
      <c r="G669" s="3"/>
    </row>
    <row r="670" spans="4:7" ht="13.2">
      <c r="D670" s="3"/>
      <c r="E670" s="3"/>
      <c r="F670" s="3"/>
      <c r="G670" s="3"/>
    </row>
    <row r="671" spans="4:7" ht="13.2">
      <c r="D671" s="3"/>
      <c r="E671" s="3"/>
      <c r="F671" s="3"/>
      <c r="G671" s="3"/>
    </row>
    <row r="672" spans="4:7" ht="13.2">
      <c r="D672" s="3"/>
      <c r="E672" s="3"/>
      <c r="F672" s="3"/>
      <c r="G672" s="3"/>
    </row>
    <row r="673" spans="4:7" ht="13.2">
      <c r="D673" s="3"/>
      <c r="E673" s="3"/>
      <c r="F673" s="3"/>
      <c r="G673" s="3"/>
    </row>
    <row r="674" spans="4:7" ht="13.2">
      <c r="D674" s="3"/>
      <c r="E674" s="3"/>
      <c r="F674" s="3"/>
      <c r="G674" s="3"/>
    </row>
    <row r="675" spans="4:7" ht="13.2">
      <c r="D675" s="3"/>
      <c r="E675" s="3"/>
      <c r="F675" s="3"/>
      <c r="G675" s="3"/>
    </row>
    <row r="676" spans="4:7" ht="13.2">
      <c r="D676" s="3"/>
      <c r="E676" s="3"/>
      <c r="F676" s="3"/>
      <c r="G676" s="3"/>
    </row>
    <row r="677" spans="4:7" ht="13.2">
      <c r="D677" s="3"/>
      <c r="E677" s="3"/>
      <c r="F677" s="3"/>
      <c r="G677" s="3"/>
    </row>
    <row r="678" spans="4:7" ht="13.2">
      <c r="D678" s="3"/>
      <c r="E678" s="3"/>
      <c r="F678" s="3"/>
      <c r="G678" s="3"/>
    </row>
    <row r="679" spans="4:7" ht="13.2">
      <c r="D679" s="3"/>
      <c r="E679" s="3"/>
      <c r="F679" s="3"/>
      <c r="G679" s="3"/>
    </row>
    <row r="680" spans="4:7" ht="13.2">
      <c r="D680" s="3"/>
      <c r="E680" s="3"/>
      <c r="F680" s="3"/>
      <c r="G680" s="3"/>
    </row>
    <row r="681" spans="4:7" ht="13.2">
      <c r="D681" s="3"/>
      <c r="E681" s="3"/>
      <c r="F681" s="3"/>
      <c r="G681" s="3"/>
    </row>
    <row r="682" spans="4:7" ht="13.2">
      <c r="D682" s="3"/>
      <c r="E682" s="3"/>
      <c r="F682" s="3"/>
      <c r="G682" s="3"/>
    </row>
    <row r="683" spans="4:7" ht="13.2">
      <c r="D683" s="3"/>
      <c r="E683" s="3"/>
      <c r="F683" s="3"/>
      <c r="G683" s="3"/>
    </row>
    <row r="684" spans="4:7" ht="13.2">
      <c r="D684" s="3"/>
      <c r="E684" s="3"/>
      <c r="F684" s="3"/>
      <c r="G684" s="3"/>
    </row>
    <row r="685" spans="4:7" ht="13.2">
      <c r="D685" s="3"/>
      <c r="E685" s="3"/>
      <c r="F685" s="3"/>
      <c r="G685" s="3"/>
    </row>
    <row r="686" spans="4:7" ht="13.2">
      <c r="D686" s="3"/>
      <c r="E686" s="3"/>
      <c r="F686" s="3"/>
      <c r="G686" s="3"/>
    </row>
    <row r="687" spans="4:7" ht="13.2">
      <c r="D687" s="3"/>
      <c r="E687" s="3"/>
      <c r="F687" s="3"/>
      <c r="G687" s="3"/>
    </row>
    <row r="688" spans="4:7" ht="13.2">
      <c r="D688" s="3"/>
      <c r="E688" s="3"/>
      <c r="F688" s="3"/>
      <c r="G688" s="3"/>
    </row>
    <row r="689" spans="4:7" ht="13.2">
      <c r="D689" s="3"/>
      <c r="E689" s="3"/>
      <c r="F689" s="3"/>
      <c r="G689" s="3"/>
    </row>
    <row r="690" spans="4:7" ht="13.2">
      <c r="D690" s="3"/>
      <c r="E690" s="3"/>
      <c r="F690" s="3"/>
      <c r="G690" s="3"/>
    </row>
    <row r="691" spans="4:7" ht="13.2">
      <c r="D691" s="3"/>
      <c r="E691" s="3"/>
      <c r="F691" s="3"/>
      <c r="G691" s="3"/>
    </row>
    <row r="692" spans="4:7" ht="13.2">
      <c r="D692" s="3"/>
      <c r="E692" s="3"/>
      <c r="F692" s="3"/>
      <c r="G692" s="3"/>
    </row>
    <row r="693" spans="4:7" ht="13.2">
      <c r="D693" s="3"/>
      <c r="E693" s="3"/>
      <c r="F693" s="3"/>
      <c r="G693" s="3"/>
    </row>
    <row r="694" spans="4:7" ht="13.2">
      <c r="D694" s="3"/>
      <c r="E694" s="3"/>
      <c r="F694" s="3"/>
      <c r="G694" s="3"/>
    </row>
    <row r="695" spans="4:7" ht="13.2">
      <c r="D695" s="3"/>
      <c r="E695" s="3"/>
      <c r="F695" s="3"/>
      <c r="G695" s="3"/>
    </row>
    <row r="696" spans="4:7" ht="13.2">
      <c r="D696" s="3"/>
      <c r="E696" s="3"/>
      <c r="F696" s="3"/>
      <c r="G696" s="3"/>
    </row>
    <row r="697" spans="4:7" ht="13.2">
      <c r="D697" s="3"/>
      <c r="E697" s="3"/>
      <c r="F697" s="3"/>
      <c r="G697" s="3"/>
    </row>
    <row r="698" spans="4:7" ht="13.2">
      <c r="D698" s="3"/>
      <c r="E698" s="3"/>
      <c r="F698" s="3"/>
      <c r="G698" s="3"/>
    </row>
    <row r="699" spans="4:7" ht="13.2">
      <c r="D699" s="3"/>
      <c r="E699" s="3"/>
      <c r="F699" s="3"/>
      <c r="G699" s="3"/>
    </row>
    <row r="700" spans="4:7" ht="13.2">
      <c r="D700" s="3"/>
      <c r="E700" s="3"/>
      <c r="F700" s="3"/>
      <c r="G700" s="3"/>
    </row>
    <row r="701" spans="4:7" ht="13.2">
      <c r="D701" s="3"/>
      <c r="E701" s="3"/>
      <c r="F701" s="3"/>
      <c r="G701" s="3"/>
    </row>
    <row r="702" spans="4:7" ht="13.2">
      <c r="D702" s="3"/>
      <c r="E702" s="3"/>
      <c r="F702" s="3"/>
      <c r="G702" s="3"/>
    </row>
    <row r="703" spans="4:7" ht="13.2">
      <c r="D703" s="3"/>
      <c r="E703" s="3"/>
      <c r="F703" s="3"/>
      <c r="G703" s="3"/>
    </row>
    <row r="704" spans="4:7" ht="13.2">
      <c r="D704" s="3"/>
      <c r="E704" s="3"/>
      <c r="F704" s="3"/>
      <c r="G704" s="3"/>
    </row>
    <row r="705" spans="4:7" ht="13.2">
      <c r="D705" s="3"/>
      <c r="E705" s="3"/>
      <c r="F705" s="3"/>
      <c r="G705" s="3"/>
    </row>
    <row r="706" spans="4:7" ht="13.2">
      <c r="D706" s="3"/>
      <c r="E706" s="3"/>
      <c r="F706" s="3"/>
      <c r="G706" s="3"/>
    </row>
    <row r="707" spans="4:7" ht="13.2">
      <c r="D707" s="3"/>
      <c r="E707" s="3"/>
      <c r="F707" s="3"/>
      <c r="G707" s="3"/>
    </row>
    <row r="708" spans="4:7" ht="13.2">
      <c r="D708" s="3"/>
      <c r="E708" s="3"/>
      <c r="F708" s="3"/>
      <c r="G708" s="3"/>
    </row>
    <row r="709" spans="4:7" ht="13.2">
      <c r="D709" s="3"/>
      <c r="E709" s="3"/>
      <c r="F709" s="3"/>
      <c r="G709" s="3"/>
    </row>
    <row r="710" spans="4:7" ht="13.2">
      <c r="D710" s="3"/>
      <c r="E710" s="3"/>
      <c r="F710" s="3"/>
      <c r="G710" s="3"/>
    </row>
    <row r="711" spans="4:7" ht="13.2">
      <c r="D711" s="3"/>
      <c r="E711" s="3"/>
      <c r="F711" s="3"/>
      <c r="G711" s="3"/>
    </row>
    <row r="712" spans="4:7" ht="13.2">
      <c r="D712" s="3"/>
      <c r="E712" s="3"/>
      <c r="F712" s="3"/>
      <c r="G712" s="3"/>
    </row>
    <row r="713" spans="4:7" ht="13.2">
      <c r="D713" s="3"/>
      <c r="E713" s="3"/>
      <c r="F713" s="3"/>
      <c r="G713" s="3"/>
    </row>
    <row r="714" spans="4:7" ht="13.2">
      <c r="D714" s="3"/>
      <c r="E714" s="3"/>
      <c r="F714" s="3"/>
      <c r="G714" s="3"/>
    </row>
    <row r="715" spans="4:7" ht="13.2">
      <c r="D715" s="3"/>
      <c r="E715" s="3"/>
      <c r="F715" s="3"/>
      <c r="G715" s="3"/>
    </row>
    <row r="716" spans="4:7" ht="13.2">
      <c r="D716" s="3"/>
      <c r="E716" s="3"/>
      <c r="F716" s="3"/>
      <c r="G716" s="3"/>
    </row>
    <row r="717" spans="4:7" ht="13.2">
      <c r="D717" s="3"/>
      <c r="E717" s="3"/>
      <c r="F717" s="3"/>
      <c r="G717" s="3"/>
    </row>
    <row r="718" spans="4:7" ht="13.2">
      <c r="D718" s="3"/>
      <c r="E718" s="3"/>
      <c r="F718" s="3"/>
      <c r="G718" s="3"/>
    </row>
    <row r="719" spans="4:7" ht="13.2">
      <c r="D719" s="3"/>
      <c r="E719" s="3"/>
      <c r="F719" s="3"/>
      <c r="G719" s="3"/>
    </row>
    <row r="720" spans="4:7" ht="13.2">
      <c r="D720" s="3"/>
      <c r="E720" s="3"/>
      <c r="F720" s="3"/>
      <c r="G720" s="3"/>
    </row>
    <row r="721" spans="4:7" ht="13.2">
      <c r="D721" s="3"/>
      <c r="E721" s="3"/>
      <c r="F721" s="3"/>
      <c r="G721" s="3"/>
    </row>
    <row r="722" spans="4:7" ht="13.2">
      <c r="D722" s="3"/>
      <c r="E722" s="3"/>
      <c r="F722" s="3"/>
      <c r="G722" s="3"/>
    </row>
    <row r="723" spans="4:7" ht="13.2">
      <c r="D723" s="3"/>
      <c r="E723" s="3"/>
      <c r="F723" s="3"/>
      <c r="G723" s="3"/>
    </row>
    <row r="724" spans="4:7" ht="13.2">
      <c r="D724" s="3"/>
      <c r="E724" s="3"/>
      <c r="F724" s="3"/>
      <c r="G724" s="3"/>
    </row>
    <row r="725" spans="4:7" ht="13.2">
      <c r="D725" s="3"/>
      <c r="E725" s="3"/>
      <c r="F725" s="3"/>
      <c r="G725" s="3"/>
    </row>
    <row r="726" spans="4:7" ht="13.2">
      <c r="D726" s="3"/>
      <c r="E726" s="3"/>
      <c r="F726" s="3"/>
      <c r="G726" s="3"/>
    </row>
    <row r="727" spans="4:7" ht="13.2">
      <c r="D727" s="3"/>
      <c r="E727" s="3"/>
      <c r="F727" s="3"/>
      <c r="G727" s="3"/>
    </row>
    <row r="728" spans="4:7" ht="13.2">
      <c r="D728" s="3"/>
      <c r="E728" s="3"/>
      <c r="F728" s="3"/>
      <c r="G728" s="3"/>
    </row>
    <row r="729" spans="4:7" ht="13.2">
      <c r="D729" s="3"/>
      <c r="E729" s="3"/>
      <c r="F729" s="3"/>
      <c r="G729" s="3"/>
    </row>
    <row r="730" spans="4:7" ht="13.2">
      <c r="D730" s="3"/>
      <c r="E730" s="3"/>
      <c r="F730" s="3"/>
      <c r="G730" s="3"/>
    </row>
    <row r="731" spans="4:7" ht="13.2">
      <c r="D731" s="3"/>
      <c r="E731" s="3"/>
      <c r="F731" s="3"/>
      <c r="G731" s="3"/>
    </row>
    <row r="732" spans="4:7" ht="13.2">
      <c r="D732" s="3"/>
      <c r="E732" s="3"/>
      <c r="F732" s="3"/>
      <c r="G732" s="3"/>
    </row>
    <row r="733" spans="4:7" ht="13.2">
      <c r="D733" s="3"/>
      <c r="E733" s="3"/>
      <c r="F733" s="3"/>
      <c r="G733" s="3"/>
    </row>
    <row r="734" spans="4:7" ht="13.2">
      <c r="D734" s="3"/>
      <c r="E734" s="3"/>
      <c r="F734" s="3"/>
      <c r="G734" s="3"/>
    </row>
    <row r="735" spans="4:7" ht="13.2">
      <c r="D735" s="3"/>
      <c r="E735" s="3"/>
      <c r="F735" s="3"/>
      <c r="G735" s="3"/>
    </row>
    <row r="736" spans="4:7" ht="13.2">
      <c r="D736" s="3"/>
      <c r="E736" s="3"/>
      <c r="F736" s="3"/>
      <c r="G736" s="3"/>
    </row>
    <row r="737" spans="4:7" ht="13.2">
      <c r="D737" s="3"/>
      <c r="E737" s="3"/>
      <c r="F737" s="3"/>
      <c r="G737" s="3"/>
    </row>
    <row r="738" spans="4:7" ht="13.2">
      <c r="D738" s="3"/>
      <c r="E738" s="3"/>
      <c r="F738" s="3"/>
      <c r="G738" s="3"/>
    </row>
    <row r="739" spans="4:7" ht="13.2">
      <c r="D739" s="3"/>
      <c r="E739" s="3"/>
      <c r="F739" s="3"/>
      <c r="G739" s="3"/>
    </row>
    <row r="740" spans="4:7" ht="13.2">
      <c r="D740" s="3"/>
      <c r="E740" s="3"/>
      <c r="F740" s="3"/>
      <c r="G740" s="3"/>
    </row>
    <row r="741" spans="4:7" ht="13.2">
      <c r="D741" s="3"/>
      <c r="E741" s="3"/>
      <c r="F741" s="3"/>
      <c r="G741" s="3"/>
    </row>
    <row r="742" spans="4:7" ht="13.2">
      <c r="D742" s="3"/>
      <c r="E742" s="3"/>
      <c r="F742" s="3"/>
      <c r="G742" s="3"/>
    </row>
    <row r="743" spans="4:7" ht="13.2">
      <c r="D743" s="3"/>
      <c r="E743" s="3"/>
      <c r="F743" s="3"/>
      <c r="G743" s="3"/>
    </row>
    <row r="744" spans="4:7" ht="13.2">
      <c r="D744" s="3"/>
      <c r="E744" s="3"/>
      <c r="F744" s="3"/>
      <c r="G744" s="3"/>
    </row>
    <row r="745" spans="4:7" ht="13.2">
      <c r="D745" s="3"/>
      <c r="E745" s="3"/>
      <c r="F745" s="3"/>
      <c r="G745" s="3"/>
    </row>
    <row r="746" spans="4:7" ht="13.2">
      <c r="D746" s="3"/>
      <c r="E746" s="3"/>
      <c r="F746" s="3"/>
      <c r="G746" s="3"/>
    </row>
    <row r="747" spans="4:7" ht="13.2">
      <c r="D747" s="3"/>
      <c r="E747" s="3"/>
      <c r="F747" s="3"/>
      <c r="G747" s="3"/>
    </row>
    <row r="748" spans="4:7" ht="13.2">
      <c r="D748" s="3"/>
      <c r="E748" s="3"/>
      <c r="F748" s="3"/>
      <c r="G748" s="3"/>
    </row>
    <row r="749" spans="4:7" ht="13.2">
      <c r="D749" s="3"/>
      <c r="E749" s="3"/>
      <c r="F749" s="3"/>
      <c r="G749" s="3"/>
    </row>
    <row r="750" spans="4:7" ht="13.2">
      <c r="D750" s="3"/>
      <c r="E750" s="3"/>
      <c r="F750" s="3"/>
      <c r="G750" s="3"/>
    </row>
    <row r="751" spans="4:7" ht="13.2">
      <c r="D751" s="3"/>
      <c r="E751" s="3"/>
      <c r="F751" s="3"/>
      <c r="G751" s="3"/>
    </row>
    <row r="752" spans="4:7" ht="13.2">
      <c r="D752" s="3"/>
      <c r="E752" s="3"/>
      <c r="F752" s="3"/>
      <c r="G752" s="3"/>
    </row>
    <row r="753" spans="4:7" ht="13.2">
      <c r="D753" s="3"/>
      <c r="E753" s="3"/>
      <c r="F753" s="3"/>
      <c r="G753" s="3"/>
    </row>
    <row r="754" spans="4:7" ht="13.2">
      <c r="D754" s="3"/>
      <c r="E754" s="3"/>
      <c r="F754" s="3"/>
      <c r="G754" s="3"/>
    </row>
    <row r="755" spans="4:7" ht="13.2">
      <c r="D755" s="3"/>
      <c r="E755" s="3"/>
      <c r="F755" s="3"/>
      <c r="G755" s="3"/>
    </row>
    <row r="756" spans="4:7" ht="13.2">
      <c r="D756" s="3"/>
      <c r="E756" s="3"/>
      <c r="F756" s="3"/>
      <c r="G756" s="3"/>
    </row>
    <row r="757" spans="4:7" ht="13.2">
      <c r="D757" s="3"/>
      <c r="E757" s="3"/>
      <c r="F757" s="3"/>
      <c r="G757" s="3"/>
    </row>
    <row r="758" spans="4:7" ht="13.2">
      <c r="D758" s="3"/>
      <c r="E758" s="3"/>
      <c r="F758" s="3"/>
      <c r="G758" s="3"/>
    </row>
    <row r="759" spans="4:7" ht="13.2">
      <c r="D759" s="3"/>
      <c r="E759" s="3"/>
      <c r="F759" s="3"/>
      <c r="G759" s="3"/>
    </row>
    <row r="760" spans="4:7" ht="13.2">
      <c r="D760" s="3"/>
      <c r="E760" s="3"/>
      <c r="F760" s="3"/>
      <c r="G760" s="3"/>
    </row>
    <row r="761" spans="4:7" ht="13.2">
      <c r="D761" s="3"/>
      <c r="E761" s="3"/>
      <c r="F761" s="3"/>
      <c r="G761" s="3"/>
    </row>
    <row r="762" spans="4:7" ht="13.2">
      <c r="D762" s="3"/>
      <c r="E762" s="3"/>
      <c r="F762" s="3"/>
      <c r="G762" s="3"/>
    </row>
    <row r="763" spans="4:7" ht="13.2">
      <c r="D763" s="3"/>
      <c r="E763" s="3"/>
      <c r="F763" s="3"/>
      <c r="G763" s="3"/>
    </row>
    <row r="764" spans="4:7" ht="13.2">
      <c r="D764" s="3"/>
      <c r="E764" s="3"/>
      <c r="F764" s="3"/>
      <c r="G764" s="3"/>
    </row>
    <row r="765" spans="4:7" ht="13.2">
      <c r="D765" s="3"/>
      <c r="E765" s="3"/>
      <c r="F765" s="3"/>
      <c r="G765" s="3"/>
    </row>
    <row r="766" spans="4:7" ht="13.2">
      <c r="D766" s="3"/>
      <c r="E766" s="3"/>
      <c r="F766" s="3"/>
      <c r="G766" s="3"/>
    </row>
    <row r="767" spans="4:7" ht="13.2">
      <c r="D767" s="3"/>
      <c r="E767" s="3"/>
      <c r="F767" s="3"/>
      <c r="G767" s="3"/>
    </row>
    <row r="768" spans="4:7" ht="13.2">
      <c r="D768" s="3"/>
      <c r="E768" s="3"/>
      <c r="F768" s="3"/>
      <c r="G768" s="3"/>
    </row>
    <row r="769" spans="4:7" ht="13.2">
      <c r="D769" s="3"/>
      <c r="E769" s="3"/>
      <c r="F769" s="3"/>
      <c r="G769" s="3"/>
    </row>
    <row r="770" spans="4:7" ht="13.2">
      <c r="D770" s="3"/>
      <c r="E770" s="3"/>
      <c r="F770" s="3"/>
      <c r="G770" s="3"/>
    </row>
    <row r="771" spans="4:7" ht="13.2">
      <c r="D771" s="3"/>
      <c r="E771" s="3"/>
      <c r="F771" s="3"/>
      <c r="G771" s="3"/>
    </row>
    <row r="772" spans="4:7" ht="13.2">
      <c r="D772" s="3"/>
      <c r="E772" s="3"/>
      <c r="F772" s="3"/>
      <c r="G772" s="3"/>
    </row>
    <row r="773" spans="4:7" ht="13.2">
      <c r="D773" s="3"/>
      <c r="E773" s="3"/>
      <c r="F773" s="3"/>
      <c r="G773" s="3"/>
    </row>
    <row r="774" spans="4:7" ht="13.2">
      <c r="D774" s="3"/>
      <c r="E774" s="3"/>
      <c r="F774" s="3"/>
      <c r="G774" s="3"/>
    </row>
    <row r="775" spans="4:7" ht="13.2">
      <c r="D775" s="3"/>
      <c r="E775" s="3"/>
      <c r="F775" s="3"/>
      <c r="G775" s="3"/>
    </row>
    <row r="776" spans="4:7" ht="13.2">
      <c r="D776" s="3"/>
      <c r="E776" s="3"/>
      <c r="F776" s="3"/>
      <c r="G776" s="3"/>
    </row>
    <row r="777" spans="4:7" ht="13.2">
      <c r="D777" s="3"/>
      <c r="E777" s="3"/>
      <c r="F777" s="3"/>
      <c r="G777" s="3"/>
    </row>
    <row r="778" spans="4:7" ht="13.2">
      <c r="D778" s="3"/>
      <c r="E778" s="3"/>
      <c r="F778" s="3"/>
      <c r="G778" s="3"/>
    </row>
    <row r="779" spans="4:7" ht="13.2">
      <c r="D779" s="3"/>
      <c r="E779" s="3"/>
      <c r="F779" s="3"/>
      <c r="G779" s="3"/>
    </row>
    <row r="780" spans="4:7" ht="13.2">
      <c r="D780" s="3"/>
      <c r="E780" s="3"/>
      <c r="F780" s="3"/>
      <c r="G780" s="3"/>
    </row>
    <row r="781" spans="4:7" ht="13.2">
      <c r="D781" s="3"/>
      <c r="E781" s="3"/>
      <c r="F781" s="3"/>
      <c r="G781" s="3"/>
    </row>
    <row r="782" spans="4:7" ht="13.2">
      <c r="D782" s="3"/>
      <c r="E782" s="3"/>
      <c r="F782" s="3"/>
      <c r="G782" s="3"/>
    </row>
    <row r="783" spans="4:7" ht="13.2">
      <c r="D783" s="3"/>
      <c r="E783" s="3"/>
      <c r="F783" s="3"/>
      <c r="G783" s="3"/>
    </row>
    <row r="784" spans="4:7" ht="13.2">
      <c r="D784" s="3"/>
      <c r="E784" s="3"/>
      <c r="F784" s="3"/>
      <c r="G784" s="3"/>
    </row>
    <row r="785" spans="4:7" ht="13.2">
      <c r="D785" s="3"/>
      <c r="E785" s="3"/>
      <c r="F785" s="3"/>
      <c r="G785" s="3"/>
    </row>
    <row r="786" spans="4:7" ht="13.2">
      <c r="D786" s="3"/>
      <c r="E786" s="3"/>
      <c r="F786" s="3"/>
      <c r="G786" s="3"/>
    </row>
    <row r="787" spans="4:7" ht="13.2">
      <c r="D787" s="3"/>
      <c r="E787" s="3"/>
      <c r="F787" s="3"/>
      <c r="G787" s="3"/>
    </row>
    <row r="788" spans="4:7" ht="13.2">
      <c r="D788" s="3"/>
      <c r="E788" s="3"/>
      <c r="F788" s="3"/>
      <c r="G788" s="3"/>
    </row>
    <row r="789" spans="4:7" ht="13.2">
      <c r="D789" s="3"/>
      <c r="E789" s="3"/>
      <c r="F789" s="3"/>
      <c r="G789" s="3"/>
    </row>
    <row r="790" spans="4:7" ht="13.2">
      <c r="D790" s="3"/>
      <c r="E790" s="3"/>
      <c r="F790" s="3"/>
      <c r="G790" s="3"/>
    </row>
    <row r="791" spans="4:7" ht="13.2">
      <c r="D791" s="3"/>
      <c r="E791" s="3"/>
      <c r="F791" s="3"/>
      <c r="G791" s="3"/>
    </row>
    <row r="792" spans="4:7" ht="13.2">
      <c r="D792" s="3"/>
      <c r="E792" s="3"/>
      <c r="F792" s="3"/>
      <c r="G792" s="3"/>
    </row>
    <row r="793" spans="4:7" ht="13.2">
      <c r="D793" s="3"/>
      <c r="E793" s="3"/>
      <c r="F793" s="3"/>
      <c r="G793" s="3"/>
    </row>
    <row r="794" spans="4:7" ht="13.2">
      <c r="D794" s="3"/>
      <c r="E794" s="3"/>
      <c r="F794" s="3"/>
      <c r="G794" s="3"/>
    </row>
    <row r="795" spans="4:7" ht="13.2">
      <c r="D795" s="3"/>
      <c r="E795" s="3"/>
      <c r="F795" s="3"/>
      <c r="G795" s="3"/>
    </row>
    <row r="796" spans="4:7" ht="13.2">
      <c r="D796" s="3"/>
      <c r="E796" s="3"/>
      <c r="F796" s="3"/>
      <c r="G796" s="3"/>
    </row>
    <row r="797" spans="4:7" ht="13.2">
      <c r="D797" s="3"/>
      <c r="E797" s="3"/>
      <c r="F797" s="3"/>
      <c r="G797" s="3"/>
    </row>
    <row r="798" spans="4:7" ht="13.2">
      <c r="D798" s="3"/>
      <c r="E798" s="3"/>
      <c r="F798" s="3"/>
      <c r="G798" s="3"/>
    </row>
    <row r="799" spans="4:7" ht="13.2">
      <c r="D799" s="3"/>
      <c r="E799" s="3"/>
      <c r="F799" s="3"/>
      <c r="G799" s="3"/>
    </row>
    <row r="800" spans="4:7" ht="13.2">
      <c r="D800" s="3"/>
      <c r="E800" s="3"/>
      <c r="F800" s="3"/>
      <c r="G800" s="3"/>
    </row>
    <row r="801" spans="4:7" ht="13.2">
      <c r="D801" s="3"/>
      <c r="E801" s="3"/>
      <c r="F801" s="3"/>
      <c r="G801" s="3"/>
    </row>
    <row r="802" spans="4:7" ht="13.2">
      <c r="D802" s="3"/>
      <c r="E802" s="3"/>
      <c r="F802" s="3"/>
      <c r="G802" s="3"/>
    </row>
    <row r="803" spans="4:7" ht="13.2">
      <c r="D803" s="3"/>
      <c r="E803" s="3"/>
      <c r="F803" s="3"/>
      <c r="G803" s="3"/>
    </row>
    <row r="804" spans="4:7" ht="13.2">
      <c r="D804" s="3"/>
      <c r="E804" s="3"/>
      <c r="F804" s="3"/>
      <c r="G804" s="3"/>
    </row>
    <row r="805" spans="4:7" ht="13.2">
      <c r="D805" s="3"/>
      <c r="E805" s="3"/>
      <c r="F805" s="3"/>
      <c r="G805" s="3"/>
    </row>
    <row r="806" spans="4:7" ht="13.2">
      <c r="D806" s="3"/>
      <c r="E806" s="3"/>
      <c r="F806" s="3"/>
      <c r="G806" s="3"/>
    </row>
    <row r="807" spans="4:7" ht="13.2">
      <c r="D807" s="3"/>
      <c r="E807" s="3"/>
      <c r="F807" s="3"/>
      <c r="G807" s="3"/>
    </row>
    <row r="808" spans="4:7" ht="13.2">
      <c r="D808" s="3"/>
      <c r="E808" s="3"/>
      <c r="F808" s="3"/>
      <c r="G808" s="3"/>
    </row>
    <row r="809" spans="4:7" ht="13.2">
      <c r="D809" s="3"/>
      <c r="E809" s="3"/>
      <c r="F809" s="3"/>
      <c r="G809" s="3"/>
    </row>
    <row r="810" spans="4:7" ht="13.2">
      <c r="D810" s="3"/>
      <c r="E810" s="3"/>
      <c r="F810" s="3"/>
      <c r="G810" s="3"/>
    </row>
    <row r="811" spans="4:7" ht="13.2">
      <c r="D811" s="3"/>
      <c r="E811" s="3"/>
      <c r="F811" s="3"/>
      <c r="G811" s="3"/>
    </row>
    <row r="812" spans="4:7" ht="13.2">
      <c r="D812" s="3"/>
      <c r="E812" s="3"/>
      <c r="F812" s="3"/>
      <c r="G812" s="3"/>
    </row>
    <row r="813" spans="4:7" ht="13.2">
      <c r="D813" s="3"/>
      <c r="E813" s="3"/>
      <c r="F813" s="3"/>
      <c r="G813" s="3"/>
    </row>
    <row r="814" spans="4:7" ht="13.2">
      <c r="D814" s="3"/>
      <c r="E814" s="3"/>
      <c r="F814" s="3"/>
      <c r="G814" s="3"/>
    </row>
    <row r="815" spans="4:7" ht="13.2">
      <c r="D815" s="3"/>
      <c r="E815" s="3"/>
      <c r="F815" s="3"/>
      <c r="G815" s="3"/>
    </row>
    <row r="816" spans="4:7" ht="13.2">
      <c r="D816" s="3"/>
      <c r="E816" s="3"/>
      <c r="F816" s="3"/>
      <c r="G816" s="3"/>
    </row>
    <row r="817" spans="4:7" ht="13.2">
      <c r="D817" s="3"/>
      <c r="E817" s="3"/>
      <c r="F817" s="3"/>
      <c r="G817" s="3"/>
    </row>
    <row r="818" spans="4:7" ht="13.2">
      <c r="D818" s="3"/>
      <c r="E818" s="3"/>
      <c r="F818" s="3"/>
      <c r="G818" s="3"/>
    </row>
    <row r="819" spans="4:7" ht="13.2">
      <c r="D819" s="3"/>
      <c r="E819" s="3"/>
      <c r="F819" s="3"/>
      <c r="G819" s="3"/>
    </row>
    <row r="820" spans="4:7" ht="13.2">
      <c r="D820" s="3"/>
      <c r="E820" s="3"/>
      <c r="F820" s="3"/>
      <c r="G820" s="3"/>
    </row>
    <row r="821" spans="4:7" ht="13.2">
      <c r="D821" s="3"/>
      <c r="E821" s="3"/>
      <c r="F821" s="3"/>
      <c r="G821" s="3"/>
    </row>
    <row r="822" spans="4:7" ht="13.2">
      <c r="D822" s="3"/>
      <c r="E822" s="3"/>
      <c r="F822" s="3"/>
      <c r="G822" s="3"/>
    </row>
    <row r="823" spans="4:7" ht="13.2">
      <c r="D823" s="3"/>
      <c r="E823" s="3"/>
      <c r="F823" s="3"/>
      <c r="G823" s="3"/>
    </row>
    <row r="824" spans="4:7" ht="13.2">
      <c r="D824" s="3"/>
      <c r="E824" s="3"/>
      <c r="F824" s="3"/>
      <c r="G824" s="3"/>
    </row>
    <row r="825" spans="4:7" ht="13.2">
      <c r="D825" s="3"/>
      <c r="E825" s="3"/>
      <c r="F825" s="3"/>
      <c r="G825" s="3"/>
    </row>
    <row r="826" spans="4:7" ht="13.2">
      <c r="D826" s="3"/>
      <c r="E826" s="3"/>
      <c r="F826" s="3"/>
      <c r="G826" s="3"/>
    </row>
    <row r="827" spans="4:7" ht="13.2">
      <c r="D827" s="3"/>
      <c r="E827" s="3"/>
      <c r="F827" s="3"/>
      <c r="G827" s="3"/>
    </row>
    <row r="828" spans="4:7" ht="13.2">
      <c r="D828" s="3"/>
      <c r="E828" s="3"/>
      <c r="F828" s="3"/>
      <c r="G828" s="3"/>
    </row>
    <row r="829" spans="4:7" ht="13.2">
      <c r="D829" s="3"/>
      <c r="E829" s="3"/>
      <c r="F829" s="3"/>
      <c r="G829" s="3"/>
    </row>
    <row r="830" spans="4:7" ht="13.2">
      <c r="D830" s="3"/>
      <c r="E830" s="3"/>
      <c r="F830" s="3"/>
      <c r="G830" s="3"/>
    </row>
    <row r="831" spans="4:7" ht="13.2">
      <c r="D831" s="3"/>
      <c r="E831" s="3"/>
      <c r="F831" s="3"/>
      <c r="G831" s="3"/>
    </row>
    <row r="832" spans="4:7" ht="13.2">
      <c r="D832" s="3"/>
      <c r="E832" s="3"/>
      <c r="F832" s="3"/>
      <c r="G832" s="3"/>
    </row>
    <row r="833" spans="4:7" ht="13.2">
      <c r="D833" s="3"/>
      <c r="E833" s="3"/>
      <c r="F833" s="3"/>
      <c r="G833" s="3"/>
    </row>
    <row r="834" spans="4:7" ht="13.2">
      <c r="D834" s="3"/>
      <c r="E834" s="3"/>
      <c r="F834" s="3"/>
      <c r="G834" s="3"/>
    </row>
    <row r="835" spans="4:7" ht="13.2">
      <c r="D835" s="3"/>
      <c r="E835" s="3"/>
      <c r="F835" s="3"/>
      <c r="G835" s="3"/>
    </row>
    <row r="836" spans="4:7" ht="13.2">
      <c r="D836" s="3"/>
      <c r="E836" s="3"/>
      <c r="F836" s="3"/>
      <c r="G836" s="3"/>
    </row>
    <row r="837" spans="4:7" ht="13.2">
      <c r="D837" s="3"/>
      <c r="E837" s="3"/>
      <c r="F837" s="3"/>
      <c r="G837" s="3"/>
    </row>
    <row r="838" spans="4:7" ht="13.2">
      <c r="D838" s="3"/>
      <c r="E838" s="3"/>
      <c r="F838" s="3"/>
      <c r="G838" s="3"/>
    </row>
    <row r="839" spans="4:7" ht="13.2">
      <c r="D839" s="3"/>
      <c r="E839" s="3"/>
      <c r="F839" s="3"/>
      <c r="G839" s="3"/>
    </row>
    <row r="840" spans="4:7" ht="13.2">
      <c r="D840" s="3"/>
      <c r="E840" s="3"/>
      <c r="F840" s="3"/>
      <c r="G840" s="3"/>
    </row>
    <row r="841" spans="4:7" ht="13.2">
      <c r="D841" s="3"/>
      <c r="E841" s="3"/>
      <c r="F841" s="3"/>
      <c r="G841" s="3"/>
    </row>
    <row r="842" spans="4:7" ht="13.2">
      <c r="D842" s="3"/>
      <c r="E842" s="3"/>
      <c r="F842" s="3"/>
      <c r="G842" s="3"/>
    </row>
    <row r="843" spans="4:7" ht="13.2">
      <c r="D843" s="3"/>
      <c r="E843" s="3"/>
      <c r="F843" s="3"/>
      <c r="G843" s="3"/>
    </row>
    <row r="844" spans="4:7" ht="13.2">
      <c r="D844" s="3"/>
      <c r="E844" s="3"/>
      <c r="F844" s="3"/>
      <c r="G844" s="3"/>
    </row>
    <row r="845" spans="4:7" ht="13.2">
      <c r="D845" s="3"/>
      <c r="E845" s="3"/>
      <c r="F845" s="3"/>
      <c r="G845" s="3"/>
    </row>
    <row r="846" spans="4:7" ht="13.2">
      <c r="D846" s="3"/>
      <c r="E846" s="3"/>
      <c r="F846" s="3"/>
      <c r="G846" s="3"/>
    </row>
    <row r="847" spans="4:7" ht="13.2">
      <c r="D847" s="3"/>
      <c r="E847" s="3"/>
      <c r="F847" s="3"/>
      <c r="G847" s="3"/>
    </row>
    <row r="848" spans="4:7" ht="13.2">
      <c r="D848" s="3"/>
      <c r="E848" s="3"/>
      <c r="F848" s="3"/>
      <c r="G848" s="3"/>
    </row>
    <row r="849" spans="4:7" ht="13.2">
      <c r="D849" s="3"/>
      <c r="E849" s="3"/>
      <c r="F849" s="3"/>
      <c r="G849" s="3"/>
    </row>
    <row r="850" spans="4:7" ht="13.2">
      <c r="D850" s="3"/>
      <c r="E850" s="3"/>
      <c r="F850" s="3"/>
      <c r="G850" s="3"/>
    </row>
    <row r="851" spans="4:7" ht="13.2">
      <c r="D851" s="3"/>
      <c r="E851" s="3"/>
      <c r="F851" s="3"/>
      <c r="G851" s="3"/>
    </row>
    <row r="852" spans="4:7" ht="13.2">
      <c r="D852" s="3"/>
      <c r="E852" s="3"/>
      <c r="F852" s="3"/>
      <c r="G852" s="3"/>
    </row>
    <row r="853" spans="4:7" ht="13.2">
      <c r="D853" s="3"/>
      <c r="E853" s="3"/>
      <c r="F853" s="3"/>
      <c r="G853" s="3"/>
    </row>
    <row r="854" spans="4:7" ht="13.2">
      <c r="D854" s="3"/>
      <c r="E854" s="3"/>
      <c r="F854" s="3"/>
      <c r="G854" s="3"/>
    </row>
    <row r="855" spans="4:7" ht="13.2">
      <c r="D855" s="3"/>
      <c r="E855" s="3"/>
      <c r="F855" s="3"/>
      <c r="G855" s="3"/>
    </row>
    <row r="856" spans="4:7" ht="13.2">
      <c r="D856" s="3"/>
      <c r="E856" s="3"/>
      <c r="F856" s="3"/>
      <c r="G856" s="3"/>
    </row>
    <row r="857" spans="4:7" ht="13.2">
      <c r="D857" s="3"/>
      <c r="E857" s="3"/>
      <c r="F857" s="3"/>
      <c r="G857" s="3"/>
    </row>
    <row r="858" spans="4:7" ht="13.2">
      <c r="D858" s="3"/>
      <c r="E858" s="3"/>
      <c r="F858" s="3"/>
      <c r="G858" s="3"/>
    </row>
    <row r="859" spans="4:7" ht="13.2">
      <c r="D859" s="3"/>
      <c r="E859" s="3"/>
      <c r="F859" s="3"/>
      <c r="G859" s="3"/>
    </row>
    <row r="860" spans="4:7" ht="13.2">
      <c r="D860" s="3"/>
      <c r="E860" s="3"/>
      <c r="F860" s="3"/>
      <c r="G860" s="3"/>
    </row>
    <row r="861" spans="4:7" ht="13.2">
      <c r="D861" s="3"/>
      <c r="E861" s="3"/>
      <c r="F861" s="3"/>
      <c r="G861" s="3"/>
    </row>
    <row r="862" spans="4:7" ht="13.2">
      <c r="D862" s="3"/>
      <c r="E862" s="3"/>
      <c r="F862" s="3"/>
      <c r="G862" s="3"/>
    </row>
    <row r="863" spans="4:7" ht="13.2">
      <c r="D863" s="3"/>
      <c r="E863" s="3"/>
      <c r="F863" s="3"/>
      <c r="G863" s="3"/>
    </row>
    <row r="864" spans="4:7" ht="13.2">
      <c r="D864" s="3"/>
      <c r="E864" s="3"/>
      <c r="F864" s="3"/>
      <c r="G864" s="3"/>
    </row>
    <row r="865" spans="4:7" ht="13.2">
      <c r="D865" s="3"/>
      <c r="E865" s="3"/>
      <c r="F865" s="3"/>
      <c r="G865" s="3"/>
    </row>
    <row r="866" spans="4:7" ht="13.2">
      <c r="D866" s="3"/>
      <c r="E866" s="3"/>
      <c r="F866" s="3"/>
      <c r="G866" s="3"/>
    </row>
    <row r="867" spans="4:7" ht="13.2">
      <c r="D867" s="3"/>
      <c r="E867" s="3"/>
      <c r="F867" s="3"/>
      <c r="G867" s="3"/>
    </row>
    <row r="868" spans="4:7" ht="13.2">
      <c r="D868" s="3"/>
      <c r="E868" s="3"/>
      <c r="F868" s="3"/>
      <c r="G868" s="3"/>
    </row>
    <row r="869" spans="4:7" ht="13.2">
      <c r="D869" s="3"/>
      <c r="E869" s="3"/>
      <c r="F869" s="3"/>
      <c r="G869" s="3"/>
    </row>
    <row r="870" spans="4:7" ht="13.2">
      <c r="D870" s="3"/>
      <c r="E870" s="3"/>
      <c r="F870" s="3"/>
      <c r="G870" s="3"/>
    </row>
    <row r="871" spans="4:7" ht="13.2">
      <c r="D871" s="3"/>
      <c r="E871" s="3"/>
      <c r="F871" s="3"/>
      <c r="G871" s="3"/>
    </row>
    <row r="872" spans="4:7" ht="13.2">
      <c r="D872" s="3"/>
      <c r="E872" s="3"/>
      <c r="F872" s="3"/>
      <c r="G872" s="3"/>
    </row>
    <row r="873" spans="4:7" ht="13.2">
      <c r="D873" s="3"/>
      <c r="E873" s="3"/>
      <c r="F873" s="3"/>
      <c r="G873" s="3"/>
    </row>
    <row r="874" spans="4:7" ht="13.2">
      <c r="D874" s="3"/>
      <c r="E874" s="3"/>
      <c r="F874" s="3"/>
      <c r="G874" s="3"/>
    </row>
    <row r="875" spans="4:7" ht="13.2">
      <c r="D875" s="3"/>
      <c r="E875" s="3"/>
      <c r="F875" s="3"/>
      <c r="G875" s="3"/>
    </row>
    <row r="876" spans="4:7" ht="13.2">
      <c r="D876" s="3"/>
      <c r="E876" s="3"/>
      <c r="F876" s="3"/>
      <c r="G876" s="3"/>
    </row>
    <row r="877" spans="4:7" ht="13.2">
      <c r="D877" s="3"/>
      <c r="E877" s="3"/>
      <c r="F877" s="3"/>
      <c r="G877" s="3"/>
    </row>
    <row r="878" spans="4:7" ht="13.2">
      <c r="D878" s="3"/>
      <c r="E878" s="3"/>
      <c r="F878" s="3"/>
      <c r="G878" s="3"/>
    </row>
    <row r="879" spans="4:7" ht="13.2">
      <c r="D879" s="3"/>
      <c r="E879" s="3"/>
      <c r="F879" s="3"/>
      <c r="G879" s="3"/>
    </row>
    <row r="880" spans="4:7" ht="13.2">
      <c r="D880" s="3"/>
      <c r="E880" s="3"/>
      <c r="F880" s="3"/>
      <c r="G880" s="3"/>
    </row>
    <row r="881" spans="4:7" ht="13.2">
      <c r="D881" s="3"/>
      <c r="E881" s="3"/>
      <c r="F881" s="3"/>
      <c r="G881" s="3"/>
    </row>
    <row r="882" spans="4:7" ht="13.2">
      <c r="D882" s="3"/>
      <c r="E882" s="3"/>
      <c r="F882" s="3"/>
      <c r="G882" s="3"/>
    </row>
    <row r="883" spans="4:7" ht="13.2">
      <c r="D883" s="3"/>
      <c r="E883" s="3"/>
      <c r="F883" s="3"/>
      <c r="G883" s="3"/>
    </row>
    <row r="884" spans="4:7" ht="13.2">
      <c r="D884" s="3"/>
      <c r="E884" s="3"/>
      <c r="F884" s="3"/>
      <c r="G884" s="3"/>
    </row>
    <row r="885" spans="4:7" ht="13.2">
      <c r="D885" s="3"/>
      <c r="E885" s="3"/>
      <c r="F885" s="3"/>
      <c r="G885" s="3"/>
    </row>
    <row r="886" spans="4:7" ht="13.2">
      <c r="D886" s="3"/>
      <c r="E886" s="3"/>
      <c r="F886" s="3"/>
      <c r="G886" s="3"/>
    </row>
    <row r="887" spans="4:7" ht="13.2">
      <c r="D887" s="3"/>
      <c r="E887" s="3"/>
      <c r="F887" s="3"/>
      <c r="G887" s="3"/>
    </row>
    <row r="888" spans="4:7" ht="13.2">
      <c r="D888" s="3"/>
      <c r="E888" s="3"/>
      <c r="F888" s="3"/>
      <c r="G888" s="3"/>
    </row>
    <row r="889" spans="4:7" ht="13.2">
      <c r="D889" s="3"/>
      <c r="E889" s="3"/>
      <c r="F889" s="3"/>
      <c r="G889" s="3"/>
    </row>
    <row r="890" spans="4:7" ht="13.2">
      <c r="D890" s="3"/>
      <c r="E890" s="3"/>
      <c r="F890" s="3"/>
      <c r="G890" s="3"/>
    </row>
    <row r="891" spans="4:7" ht="13.2">
      <c r="D891" s="3"/>
      <c r="E891" s="3"/>
      <c r="F891" s="3"/>
      <c r="G891" s="3"/>
    </row>
    <row r="892" spans="4:7" ht="13.2">
      <c r="D892" s="3"/>
      <c r="E892" s="3"/>
      <c r="F892" s="3"/>
      <c r="G892" s="3"/>
    </row>
    <row r="893" spans="4:7" ht="13.2">
      <c r="D893" s="3"/>
      <c r="E893" s="3"/>
      <c r="F893" s="3"/>
      <c r="G893" s="3"/>
    </row>
    <row r="894" spans="4:7" ht="13.2">
      <c r="D894" s="3"/>
      <c r="E894" s="3"/>
      <c r="F894" s="3"/>
      <c r="G894" s="3"/>
    </row>
    <row r="895" spans="4:7" ht="13.2">
      <c r="D895" s="3"/>
      <c r="E895" s="3"/>
      <c r="F895" s="3"/>
      <c r="G895" s="3"/>
    </row>
    <row r="896" spans="4:7" ht="13.2">
      <c r="D896" s="3"/>
      <c r="E896" s="3"/>
      <c r="F896" s="3"/>
      <c r="G896" s="3"/>
    </row>
    <row r="897" spans="4:7" ht="13.2">
      <c r="D897" s="3"/>
      <c r="E897" s="3"/>
      <c r="F897" s="3"/>
      <c r="G897" s="3"/>
    </row>
    <row r="898" spans="4:7" ht="13.2">
      <c r="D898" s="3"/>
      <c r="E898" s="3"/>
      <c r="F898" s="3"/>
      <c r="G898" s="3"/>
    </row>
    <row r="899" spans="4:7" ht="13.2">
      <c r="D899" s="3"/>
      <c r="E899" s="3"/>
      <c r="F899" s="3"/>
      <c r="G899" s="3"/>
    </row>
    <row r="900" spans="4:7" ht="13.2">
      <c r="D900" s="3"/>
      <c r="E900" s="3"/>
      <c r="F900" s="3"/>
      <c r="G900" s="3"/>
    </row>
    <row r="901" spans="4:7" ht="13.2">
      <c r="D901" s="3"/>
      <c r="E901" s="3"/>
      <c r="F901" s="3"/>
      <c r="G901" s="3"/>
    </row>
    <row r="902" spans="4:7" ht="13.2">
      <c r="D902" s="3"/>
      <c r="E902" s="3"/>
      <c r="F902" s="3"/>
      <c r="G902" s="3"/>
    </row>
    <row r="903" spans="4:7" ht="13.2">
      <c r="D903" s="3"/>
      <c r="E903" s="3"/>
      <c r="F903" s="3"/>
      <c r="G903" s="3"/>
    </row>
    <row r="904" spans="4:7" ht="13.2">
      <c r="D904" s="3"/>
      <c r="E904" s="3"/>
      <c r="F904" s="3"/>
      <c r="G904" s="3"/>
    </row>
    <row r="905" spans="4:7" ht="13.2">
      <c r="D905" s="3"/>
      <c r="E905" s="3"/>
      <c r="F905" s="3"/>
      <c r="G905" s="3"/>
    </row>
    <row r="906" spans="4:7" ht="13.2">
      <c r="D906" s="3"/>
      <c r="E906" s="3"/>
      <c r="F906" s="3"/>
      <c r="G906" s="3"/>
    </row>
    <row r="907" spans="4:7" ht="13.2">
      <c r="D907" s="3"/>
      <c r="E907" s="3"/>
      <c r="F907" s="3"/>
      <c r="G907" s="3"/>
    </row>
    <row r="908" spans="4:7" ht="13.2">
      <c r="D908" s="3"/>
      <c r="E908" s="3"/>
      <c r="F908" s="3"/>
      <c r="G908" s="3"/>
    </row>
    <row r="909" spans="4:7" ht="13.2">
      <c r="D909" s="3"/>
      <c r="E909" s="3"/>
      <c r="F909" s="3"/>
      <c r="G909" s="3"/>
    </row>
    <row r="910" spans="4:7" ht="13.2">
      <c r="D910" s="3"/>
      <c r="E910" s="3"/>
      <c r="F910" s="3"/>
      <c r="G910" s="3"/>
    </row>
    <row r="911" spans="4:7" ht="13.2">
      <c r="D911" s="3"/>
      <c r="E911" s="3"/>
      <c r="F911" s="3"/>
      <c r="G911" s="3"/>
    </row>
    <row r="912" spans="4:7" ht="13.2">
      <c r="D912" s="3"/>
      <c r="E912" s="3"/>
      <c r="F912" s="3"/>
      <c r="G912" s="3"/>
    </row>
    <row r="913" spans="4:7" ht="13.2">
      <c r="D913" s="3"/>
      <c r="E913" s="3"/>
      <c r="F913" s="3"/>
      <c r="G913" s="3"/>
    </row>
    <row r="914" spans="4:7" ht="13.2">
      <c r="D914" s="3"/>
      <c r="E914" s="3"/>
      <c r="F914" s="3"/>
      <c r="G914" s="3"/>
    </row>
    <row r="915" spans="4:7" ht="13.2">
      <c r="D915" s="3"/>
      <c r="E915" s="3"/>
      <c r="F915" s="3"/>
      <c r="G915" s="3"/>
    </row>
    <row r="916" spans="4:7" ht="13.2">
      <c r="D916" s="3"/>
      <c r="E916" s="3"/>
      <c r="F916" s="3"/>
      <c r="G916" s="3"/>
    </row>
    <row r="917" spans="4:7" ht="13.2">
      <c r="D917" s="3"/>
      <c r="E917" s="3"/>
      <c r="F917" s="3"/>
      <c r="G917" s="3"/>
    </row>
    <row r="918" spans="4:7" ht="13.2">
      <c r="D918" s="3"/>
      <c r="E918" s="3"/>
      <c r="F918" s="3"/>
      <c r="G918" s="3"/>
    </row>
    <row r="919" spans="4:7" ht="13.2">
      <c r="D919" s="3"/>
      <c r="E919" s="3"/>
      <c r="F919" s="3"/>
      <c r="G919" s="3"/>
    </row>
    <row r="920" spans="4:7" ht="13.2">
      <c r="D920" s="3"/>
      <c r="E920" s="3"/>
      <c r="F920" s="3"/>
      <c r="G920" s="3"/>
    </row>
    <row r="921" spans="4:7" ht="13.2">
      <c r="D921" s="3"/>
      <c r="E921" s="3"/>
      <c r="F921" s="3"/>
      <c r="G921" s="3"/>
    </row>
    <row r="922" spans="4:7" ht="13.2">
      <c r="D922" s="3"/>
      <c r="E922" s="3"/>
      <c r="F922" s="3"/>
      <c r="G922" s="3"/>
    </row>
    <row r="923" spans="4:7" ht="13.2">
      <c r="D923" s="3"/>
      <c r="E923" s="3"/>
      <c r="F923" s="3"/>
      <c r="G923" s="3"/>
    </row>
    <row r="924" spans="4:7" ht="13.2">
      <c r="D924" s="3"/>
      <c r="E924" s="3"/>
      <c r="F924" s="3"/>
      <c r="G924" s="3"/>
    </row>
    <row r="925" spans="4:7" ht="13.2">
      <c r="D925" s="3"/>
      <c r="E925" s="3"/>
      <c r="F925" s="3"/>
      <c r="G925" s="3"/>
    </row>
    <row r="926" spans="4:7" ht="13.2">
      <c r="D926" s="3"/>
      <c r="E926" s="3"/>
      <c r="F926" s="3"/>
      <c r="G926" s="3"/>
    </row>
    <row r="927" spans="4:7" ht="13.2">
      <c r="D927" s="3"/>
      <c r="E927" s="3"/>
      <c r="F927" s="3"/>
      <c r="G927" s="3"/>
    </row>
    <row r="928" spans="4:7" ht="13.2">
      <c r="D928" s="3"/>
      <c r="E928" s="3"/>
      <c r="F928" s="3"/>
      <c r="G928" s="3"/>
    </row>
    <row r="929" spans="4:7" ht="13.2">
      <c r="D929" s="3"/>
      <c r="E929" s="3"/>
      <c r="F929" s="3"/>
      <c r="G929" s="3"/>
    </row>
    <row r="930" spans="4:7" ht="13.2">
      <c r="D930" s="3"/>
      <c r="E930" s="3"/>
      <c r="F930" s="3"/>
      <c r="G930" s="3"/>
    </row>
    <row r="931" spans="4:7" ht="13.2">
      <c r="D931" s="3"/>
      <c r="E931" s="3"/>
      <c r="F931" s="3"/>
      <c r="G931" s="3"/>
    </row>
    <row r="932" spans="4:7" ht="13.2">
      <c r="D932" s="3"/>
      <c r="E932" s="3"/>
      <c r="F932" s="3"/>
      <c r="G932" s="3"/>
    </row>
    <row r="933" spans="4:7" ht="13.2">
      <c r="D933" s="3"/>
      <c r="E933" s="3"/>
      <c r="F933" s="3"/>
      <c r="G933" s="3"/>
    </row>
    <row r="934" spans="4:7" ht="13.2">
      <c r="D934" s="3"/>
      <c r="E934" s="3"/>
      <c r="F934" s="3"/>
      <c r="G934" s="3"/>
    </row>
    <row r="935" spans="4:7" ht="13.2">
      <c r="D935" s="3"/>
      <c r="E935" s="3"/>
      <c r="F935" s="3"/>
      <c r="G935" s="3"/>
    </row>
    <row r="936" spans="4:7" ht="13.2">
      <c r="D936" s="3"/>
      <c r="E936" s="3"/>
      <c r="F936" s="3"/>
      <c r="G936" s="3"/>
    </row>
    <row r="937" spans="4:7" ht="13.2">
      <c r="D937" s="3"/>
      <c r="E937" s="3"/>
      <c r="F937" s="3"/>
      <c r="G937" s="3"/>
    </row>
    <row r="938" spans="4:7" ht="13.2">
      <c r="D938" s="3"/>
      <c r="E938" s="3"/>
      <c r="F938" s="3"/>
      <c r="G938" s="3"/>
    </row>
    <row r="939" spans="4:7" ht="13.2">
      <c r="D939" s="3"/>
      <c r="E939" s="3"/>
      <c r="F939" s="3"/>
      <c r="G939" s="3"/>
    </row>
    <row r="940" spans="4:7" ht="13.2">
      <c r="D940" s="3"/>
      <c r="E940" s="3"/>
      <c r="F940" s="3"/>
      <c r="G940" s="3"/>
    </row>
    <row r="941" spans="4:7" ht="13.2">
      <c r="D941" s="3"/>
      <c r="E941" s="3"/>
      <c r="F941" s="3"/>
      <c r="G941" s="3"/>
    </row>
    <row r="942" spans="4:7" ht="13.2">
      <c r="D942" s="3"/>
      <c r="E942" s="3"/>
      <c r="F942" s="3"/>
      <c r="G942" s="3"/>
    </row>
    <row r="943" spans="4:7" ht="13.2">
      <c r="D943" s="3"/>
      <c r="E943" s="3"/>
      <c r="F943" s="3"/>
      <c r="G943" s="3"/>
    </row>
    <row r="944" spans="4:7" ht="13.2">
      <c r="D944" s="3"/>
      <c r="E944" s="3"/>
      <c r="F944" s="3"/>
      <c r="G944" s="3"/>
    </row>
    <row r="945" spans="4:7" ht="13.2">
      <c r="D945" s="3"/>
      <c r="E945" s="3"/>
      <c r="F945" s="3"/>
      <c r="G945" s="3"/>
    </row>
    <row r="946" spans="4:7" ht="13.2">
      <c r="D946" s="3"/>
      <c r="E946" s="3"/>
      <c r="F946" s="3"/>
      <c r="G946" s="3"/>
    </row>
    <row r="947" spans="4:7" ht="13.2">
      <c r="D947" s="3"/>
      <c r="E947" s="3"/>
      <c r="F947" s="3"/>
      <c r="G947" s="3"/>
    </row>
    <row r="948" spans="4:7" ht="13.2">
      <c r="D948" s="3"/>
      <c r="E948" s="3"/>
      <c r="F948" s="3"/>
      <c r="G948" s="3"/>
    </row>
    <row r="949" spans="4:7" ht="13.2">
      <c r="D949" s="3"/>
      <c r="E949" s="3"/>
      <c r="F949" s="3"/>
      <c r="G949" s="3"/>
    </row>
    <row r="950" spans="4:7" ht="13.2">
      <c r="D950" s="3"/>
      <c r="E950" s="3"/>
      <c r="F950" s="3"/>
      <c r="G950" s="3"/>
    </row>
    <row r="951" spans="4:7" ht="13.2">
      <c r="D951" s="3"/>
      <c r="E951" s="3"/>
      <c r="F951" s="3"/>
      <c r="G951" s="3"/>
    </row>
    <row r="952" spans="4:7" ht="13.2">
      <c r="D952" s="3"/>
      <c r="E952" s="3"/>
      <c r="F952" s="3"/>
      <c r="G952" s="3"/>
    </row>
    <row r="953" spans="4:7" ht="13.2">
      <c r="D953" s="3"/>
      <c r="E953" s="3"/>
      <c r="F953" s="3"/>
      <c r="G953" s="3"/>
    </row>
    <row r="954" spans="4:7" ht="13.2">
      <c r="D954" s="3"/>
      <c r="E954" s="3"/>
      <c r="F954" s="3"/>
      <c r="G954" s="3"/>
    </row>
    <row r="955" spans="4:7" ht="13.2">
      <c r="D955" s="3"/>
      <c r="E955" s="3"/>
      <c r="F955" s="3"/>
      <c r="G955" s="3"/>
    </row>
    <row r="956" spans="4:7" ht="13.2">
      <c r="D956" s="3"/>
      <c r="E956" s="3"/>
      <c r="F956" s="3"/>
      <c r="G956" s="3"/>
    </row>
    <row r="957" spans="4:7" ht="13.2">
      <c r="D957" s="3"/>
      <c r="E957" s="3"/>
      <c r="F957" s="3"/>
      <c r="G957" s="3"/>
    </row>
    <row r="958" spans="4:7" ht="13.2">
      <c r="D958" s="3"/>
      <c r="E958" s="3"/>
      <c r="F958" s="3"/>
      <c r="G958" s="3"/>
    </row>
    <row r="959" spans="4:7" ht="13.2">
      <c r="D959" s="3"/>
      <c r="E959" s="3"/>
      <c r="F959" s="3"/>
      <c r="G959" s="3"/>
    </row>
    <row r="960" spans="4:7" ht="13.2">
      <c r="D960" s="3"/>
      <c r="E960" s="3"/>
      <c r="F960" s="3"/>
      <c r="G960" s="3"/>
    </row>
    <row r="961" spans="4:7" ht="13.2">
      <c r="D961" s="3"/>
      <c r="E961" s="3"/>
      <c r="F961" s="3"/>
      <c r="G961" s="3"/>
    </row>
    <row r="962" spans="4:7" ht="13.2">
      <c r="D962" s="3"/>
      <c r="E962" s="3"/>
      <c r="F962" s="3"/>
      <c r="G962" s="3"/>
    </row>
    <row r="963" spans="4:7" ht="13.2">
      <c r="D963" s="3"/>
      <c r="E963" s="3"/>
      <c r="F963" s="3"/>
      <c r="G963" s="3"/>
    </row>
    <row r="964" spans="4:7" ht="13.2">
      <c r="D964" s="3"/>
      <c r="E964" s="3"/>
      <c r="F964" s="3"/>
      <c r="G964" s="3"/>
    </row>
    <row r="965" spans="4:7" ht="13.2">
      <c r="D965" s="3"/>
      <c r="E965" s="3"/>
      <c r="F965" s="3"/>
      <c r="G965" s="3"/>
    </row>
    <row r="966" spans="4:7" ht="13.2">
      <c r="D966" s="3"/>
      <c r="E966" s="3"/>
      <c r="F966" s="3"/>
      <c r="G966" s="3"/>
    </row>
    <row r="967" spans="4:7" ht="13.2">
      <c r="D967" s="3"/>
      <c r="E967" s="3"/>
      <c r="F967" s="3"/>
      <c r="G967" s="3"/>
    </row>
    <row r="968" spans="4:7" ht="13.2">
      <c r="D968" s="3"/>
      <c r="E968" s="3"/>
      <c r="F968" s="3"/>
      <c r="G968" s="3"/>
    </row>
    <row r="969" spans="4:7" ht="13.2">
      <c r="D969" s="3"/>
      <c r="E969" s="3"/>
      <c r="F969" s="3"/>
      <c r="G969" s="3"/>
    </row>
    <row r="970" spans="4:7" ht="13.2">
      <c r="D970" s="3"/>
      <c r="E970" s="3"/>
      <c r="F970" s="3"/>
      <c r="G970" s="3"/>
    </row>
    <row r="971" spans="4:7" ht="13.2">
      <c r="D971" s="3"/>
      <c r="E971" s="3"/>
      <c r="F971" s="3"/>
      <c r="G971" s="3"/>
    </row>
    <row r="972" spans="4:7" ht="13.2">
      <c r="D972" s="3"/>
      <c r="E972" s="3"/>
      <c r="F972" s="3"/>
      <c r="G972" s="3"/>
    </row>
    <row r="973" spans="4:7" ht="13.2">
      <c r="D973" s="3"/>
      <c r="E973" s="3"/>
      <c r="F973" s="3"/>
      <c r="G973" s="3"/>
    </row>
    <row r="974" spans="4:7" ht="13.2">
      <c r="D974" s="3"/>
      <c r="E974" s="3"/>
      <c r="F974" s="3"/>
      <c r="G974" s="3"/>
    </row>
    <row r="975" spans="4:7" ht="13.2">
      <c r="D975" s="3"/>
      <c r="E975" s="3"/>
      <c r="F975" s="3"/>
      <c r="G975" s="3"/>
    </row>
    <row r="976" spans="4:7" ht="13.2">
      <c r="D976" s="3"/>
      <c r="E976" s="3"/>
      <c r="F976" s="3"/>
      <c r="G976" s="3"/>
    </row>
    <row r="977" spans="4:7" ht="13.2">
      <c r="D977" s="3"/>
      <c r="E977" s="3"/>
      <c r="F977" s="3"/>
      <c r="G977" s="3"/>
    </row>
    <row r="978" spans="4:7" ht="13.2">
      <c r="D978" s="3"/>
      <c r="E978" s="3"/>
      <c r="F978" s="3"/>
      <c r="G978" s="3"/>
    </row>
    <row r="979" spans="4:7" ht="13.2">
      <c r="D979" s="3"/>
      <c r="E979" s="3"/>
      <c r="F979" s="3"/>
      <c r="G979" s="3"/>
    </row>
    <row r="980" spans="4:7" ht="13.2">
      <c r="D980" s="3"/>
      <c r="E980" s="3"/>
      <c r="F980" s="3"/>
      <c r="G980" s="3"/>
    </row>
    <row r="981" spans="4:7" ht="13.2">
      <c r="D981" s="3"/>
      <c r="E981" s="3"/>
      <c r="F981" s="3"/>
      <c r="G981" s="3"/>
    </row>
    <row r="982" spans="4:7" ht="13.2">
      <c r="D982" s="3"/>
      <c r="E982" s="3"/>
      <c r="F982" s="3"/>
      <c r="G982" s="3"/>
    </row>
    <row r="983" spans="4:7" ht="13.2">
      <c r="D983" s="3"/>
      <c r="E983" s="3"/>
      <c r="F983" s="3"/>
      <c r="G983" s="3"/>
    </row>
    <row r="984" spans="4:7" ht="13.2">
      <c r="D984" s="3"/>
      <c r="E984" s="3"/>
      <c r="F984" s="3"/>
      <c r="G984" s="3"/>
    </row>
    <row r="985" spans="4:7" ht="13.2">
      <c r="D985" s="3"/>
      <c r="E985" s="3"/>
      <c r="F985" s="3"/>
      <c r="G985" s="3"/>
    </row>
    <row r="986" spans="4:7" ht="13.2">
      <c r="D986" s="3"/>
      <c r="E986" s="3"/>
      <c r="F986" s="3"/>
      <c r="G986" s="3"/>
    </row>
    <row r="987" spans="4:7" ht="13.2">
      <c r="D987" s="3"/>
      <c r="E987" s="3"/>
      <c r="F987" s="3"/>
      <c r="G987" s="3"/>
    </row>
    <row r="988" spans="4:7" ht="13.2">
      <c r="D988" s="3"/>
      <c r="E988" s="3"/>
      <c r="F988" s="3"/>
      <c r="G988" s="3"/>
    </row>
    <row r="989" spans="4:7" ht="13.2">
      <c r="D989" s="3"/>
      <c r="E989" s="3"/>
      <c r="F989" s="3"/>
      <c r="G989" s="3"/>
    </row>
    <row r="990" spans="4:7" ht="13.2">
      <c r="D990" s="3"/>
      <c r="E990" s="3"/>
      <c r="F990" s="3"/>
      <c r="G990" s="3"/>
    </row>
    <row r="991" spans="4:7" ht="13.2">
      <c r="D991" s="3"/>
      <c r="E991" s="3"/>
      <c r="F991" s="3"/>
      <c r="G991" s="3"/>
    </row>
    <row r="992" spans="4:7" ht="13.2">
      <c r="D992" s="3"/>
      <c r="E992" s="3"/>
      <c r="F992" s="3"/>
      <c r="G992" s="3"/>
    </row>
    <row r="993" spans="4:7" ht="13.2">
      <c r="D993" s="3"/>
      <c r="E993" s="3"/>
      <c r="F993" s="3"/>
      <c r="G993" s="3"/>
    </row>
    <row r="994" spans="4:7" ht="13.2">
      <c r="D994" s="3"/>
      <c r="E994" s="3"/>
      <c r="F994" s="3"/>
      <c r="G994" s="3"/>
    </row>
    <row r="995" spans="4:7" ht="13.2">
      <c r="D995" s="3"/>
      <c r="E995" s="3"/>
      <c r="F995" s="3"/>
      <c r="G995" s="3"/>
    </row>
    <row r="996" spans="4:7" ht="13.2">
      <c r="D996" s="3"/>
      <c r="E996" s="3"/>
      <c r="F996" s="3"/>
      <c r="G996" s="3"/>
    </row>
    <row r="997" spans="4:7" ht="13.2">
      <c r="D997" s="3"/>
      <c r="E997" s="3"/>
      <c r="F997" s="3"/>
      <c r="G997" s="3"/>
    </row>
    <row r="998" spans="4:7" ht="13.2">
      <c r="D998" s="3"/>
      <c r="E998" s="3"/>
      <c r="F998" s="3"/>
      <c r="G998" s="3"/>
    </row>
    <row r="999" spans="4:7" ht="13.2">
      <c r="D999" s="3"/>
      <c r="E999" s="3"/>
      <c r="F999" s="3"/>
      <c r="G999" s="3"/>
    </row>
    <row r="1000" spans="4:7" ht="13.2">
      <c r="D1000" s="3"/>
      <c r="E1000" s="3"/>
      <c r="F1000" s="3"/>
      <c r="G1000" s="3"/>
    </row>
    <row r="1001" spans="4:7" ht="13.2">
      <c r="D1001" s="3"/>
      <c r="E1001" s="3"/>
      <c r="F1001" s="3"/>
      <c r="G1001" s="3"/>
    </row>
    <row r="1002" spans="4:7" ht="13.2">
      <c r="D1002" s="3"/>
      <c r="E1002" s="3"/>
      <c r="F1002" s="3"/>
      <c r="G1002" s="3"/>
    </row>
  </sheetData>
  <phoneticPr fontId="69" type="noConversion"/>
  <printOptions horizontalCentered="1" gridLines="1"/>
  <pageMargins left="0.7" right="0.7" top="0.75" bottom="0.75" header="0" footer="0"/>
  <pageSetup paperSize="9" fitToHeight="0" pageOrder="overThenDown" orientation="landscape" cellComments="atEnd"/>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G30"/>
  <sheetViews>
    <sheetView workbookViewId="0"/>
  </sheetViews>
  <sheetFormatPr defaultColWidth="12.6640625" defaultRowHeight="15.75" customHeight="1"/>
  <cols>
    <col min="2" max="2" width="17.33203125" customWidth="1"/>
    <col min="5" max="5" width="16.44140625" customWidth="1"/>
  </cols>
  <sheetData>
    <row r="1" spans="1:7">
      <c r="A1" s="1" t="s">
        <v>283</v>
      </c>
    </row>
    <row r="2" spans="1:7">
      <c r="B2" s="1" t="s">
        <v>30</v>
      </c>
      <c r="C2" s="1" t="s">
        <v>284</v>
      </c>
      <c r="D2" s="1" t="s">
        <v>285</v>
      </c>
      <c r="E2" s="1" t="s">
        <v>286</v>
      </c>
      <c r="F2" s="1" t="s">
        <v>287</v>
      </c>
    </row>
    <row r="3" spans="1:7">
      <c r="B3" s="1" t="s">
        <v>288</v>
      </c>
      <c r="C3" s="39">
        <v>6891000000</v>
      </c>
      <c r="D3" s="39">
        <f>474876*26730-C3+93511*E12+E10*E12+E11*E12*0.25</f>
        <v>36963082995</v>
      </c>
      <c r="E3" s="39">
        <f>E11*E12*0.25</f>
        <v>5354282615</v>
      </c>
      <c r="F3" s="39">
        <f>E11*E12*0.25</f>
        <v>5354282615</v>
      </c>
    </row>
    <row r="4" spans="1:7">
      <c r="B4" s="1" t="s">
        <v>289</v>
      </c>
      <c r="C4" s="39">
        <v>9629000000</v>
      </c>
      <c r="D4" s="39">
        <f>E15+E16-C4</f>
        <v>59179177743</v>
      </c>
      <c r="E4" s="39">
        <f>E17*E14*0.25</f>
        <v>5186254950</v>
      </c>
      <c r="F4" s="39">
        <f>E17*E14*0.25</f>
        <v>5186254950</v>
      </c>
    </row>
    <row r="6" spans="1:7">
      <c r="C6" s="1" t="s">
        <v>290</v>
      </c>
    </row>
    <row r="7" spans="1:7">
      <c r="C7" s="1" t="s">
        <v>291</v>
      </c>
      <c r="E7" s="170">
        <v>63162000000</v>
      </c>
    </row>
    <row r="8" spans="1:7">
      <c r="C8" s="1" t="s">
        <v>292</v>
      </c>
      <c r="E8" s="170">
        <f>451396*110300*0.875</f>
        <v>43565356450</v>
      </c>
    </row>
    <row r="9" spans="1:7">
      <c r="C9" s="1" t="s">
        <v>293</v>
      </c>
      <c r="E9" s="170">
        <f>E7-E8</f>
        <v>19596643550</v>
      </c>
    </row>
    <row r="10" spans="1:7">
      <c r="C10" s="1" t="s">
        <v>294</v>
      </c>
      <c r="E10" s="41">
        <v>399259</v>
      </c>
      <c r="F10" s="1" t="s">
        <v>295</v>
      </c>
      <c r="G10" s="1" t="s">
        <v>296</v>
      </c>
    </row>
    <row r="11" spans="1:7">
      <c r="C11" s="1" t="s">
        <v>297</v>
      </c>
      <c r="E11" s="41">
        <v>408958</v>
      </c>
    </row>
    <row r="12" spans="1:7">
      <c r="C12" s="1" t="s">
        <v>298</v>
      </c>
      <c r="E12" s="170">
        <v>52370</v>
      </c>
    </row>
    <row r="13" spans="1:7">
      <c r="C13" s="1"/>
      <c r="E13" s="170"/>
    </row>
    <row r="14" spans="1:7">
      <c r="C14" s="1" t="s">
        <v>299</v>
      </c>
      <c r="E14" s="170">
        <v>113700</v>
      </c>
    </row>
    <row r="15" spans="1:7">
      <c r="C15" s="1" t="s">
        <v>300</v>
      </c>
      <c r="E15" s="170">
        <f>(474876-93511)*E14+E16*E14+E17*E14*0.25</f>
        <v>68807999550</v>
      </c>
    </row>
    <row r="16" spans="1:7">
      <c r="C16" s="1" t="s">
        <v>301</v>
      </c>
      <c r="E16" s="41">
        <v>178193</v>
      </c>
    </row>
    <row r="17" spans="1:6">
      <c r="C17" s="1" t="s">
        <v>302</v>
      </c>
      <c r="E17" s="41">
        <v>182454</v>
      </c>
    </row>
    <row r="19" spans="1:6">
      <c r="B19" s="1" t="s">
        <v>303</v>
      </c>
    </row>
    <row r="20" spans="1:6">
      <c r="B20" s="1" t="s">
        <v>304</v>
      </c>
    </row>
    <row r="23" spans="1:6">
      <c r="A23" s="1" t="s">
        <v>2</v>
      </c>
      <c r="B23" s="4" t="s">
        <v>3</v>
      </c>
      <c r="C23" s="6">
        <v>2024</v>
      </c>
      <c r="D23" s="6" t="s">
        <v>4</v>
      </c>
      <c r="E23" s="6" t="s">
        <v>5</v>
      </c>
      <c r="F23" s="7" t="s">
        <v>6</v>
      </c>
    </row>
    <row r="24" spans="1:6">
      <c r="B24" s="171" t="s">
        <v>305</v>
      </c>
      <c r="C24" s="172">
        <f>포괄손익계산서!D35</f>
        <v>528212898147</v>
      </c>
      <c r="D24" s="172">
        <f>포괄손익계산서!E35</f>
        <v>328345834617.21735</v>
      </c>
      <c r="E24" s="172">
        <f>포괄손익계산서!F35</f>
        <v>1860303598075.9761</v>
      </c>
      <c r="F24" s="172">
        <f>포괄손익계산서!G35</f>
        <v>3712308134695.5894</v>
      </c>
    </row>
    <row r="25" spans="1:6">
      <c r="B25" s="171" t="s">
        <v>306</v>
      </c>
      <c r="C25" s="172">
        <f>SUM(현금흐름표!D5:D7)</f>
        <v>179638000000</v>
      </c>
      <c r="D25" s="172">
        <f>SUM(현금흐름표!E5:E7)</f>
        <v>178775118381.00662</v>
      </c>
      <c r="E25" s="172">
        <f>SUM(현금흐름표!F5:F7)</f>
        <v>180507789299.74445</v>
      </c>
      <c r="F25" s="172">
        <f>SUM(현금흐름표!G5:G7)</f>
        <v>178511384418.29535</v>
      </c>
    </row>
    <row r="26" spans="1:6">
      <c r="B26" s="171" t="s">
        <v>307</v>
      </c>
      <c r="C26" s="172">
        <f t="shared" ref="C26:F26" si="0">C3+C4</f>
        <v>16520000000</v>
      </c>
      <c r="D26" s="172">
        <f t="shared" si="0"/>
        <v>96142260738</v>
      </c>
      <c r="E26" s="172">
        <f t="shared" si="0"/>
        <v>10540537565</v>
      </c>
      <c r="F26" s="172">
        <f t="shared" si="0"/>
        <v>10540537565</v>
      </c>
    </row>
    <row r="27" spans="1:6">
      <c r="B27" s="171" t="s">
        <v>308</v>
      </c>
      <c r="C27" s="172">
        <f>-현금흐름표!D40-현금흐름표!D42-현금흐름표!D43-현금흐름표!D44+현금흐름표!D50+현금흐름표!D51+현금흐름표!D53+현금흐름표!D54+현금흐름표!D55+현금흐름표!D56</f>
        <v>933739678683</v>
      </c>
      <c r="D27" s="172">
        <f>(-현금흐름표!E40-현금흐름표!E42-현금흐름표!E43-현금흐름표!E44+현금흐름표!E50+현금흐름표!E51+현금흐름표!E53+현금흐름표!E54+현금흐름표!E55+현금흐름표!E56)*1000000</f>
        <v>1363200000000</v>
      </c>
      <c r="E27" s="172">
        <f>(-현금흐름표!F40-현금흐름표!F42-현금흐름표!F43-현금흐름표!F44+현금흐름표!F50+현금흐름표!F51+현금흐름표!F53+현금흐름표!F54+현금흐름표!F55+현금흐름표!F56)*1000000</f>
        <v>1401500000000</v>
      </c>
      <c r="F27" s="172">
        <f>(-현금흐름표!G40-현금흐름표!G42-현금흐름표!G43-현금흐름표!G44+현금흐름표!G50+현금흐름표!G51+현금흐름표!G53+현금흐름표!G54+현금흐름표!G55+현금흐름표!G56)*1000000</f>
        <v>1441500000000</v>
      </c>
    </row>
    <row r="28" spans="1:6">
      <c r="B28" s="171" t="s">
        <v>309</v>
      </c>
      <c r="C28" s="172">
        <v>3128786415586</v>
      </c>
      <c r="D28" s="172">
        <f>재무상태표!E52+재무상태표!E54+재무상태표!E63+재무상태표!E67-재무상태표!D52-재무상태표!D55-재무상태표!D63-재무상태표!D67</f>
        <v>1842479288060.665</v>
      </c>
      <c r="E28" s="172">
        <f>재무상태표!F52+재무상태표!F54+재무상태표!F63+재무상태표!F67-재무상태표!E52-재무상태표!E55-재무상태표!E63-재무상태표!E67</f>
        <v>2891937932514.6094</v>
      </c>
      <c r="F28" s="172">
        <f>재무상태표!G52+재무상태표!G54+재무상태표!G63+재무상태표!G67-재무상태표!F52-재무상태표!F55-재무상태표!F63-재무상태표!F67</f>
        <v>3379934652919.7051</v>
      </c>
    </row>
    <row r="29" spans="1:6">
      <c r="B29" s="171" t="s">
        <v>310</v>
      </c>
      <c r="C29" s="172">
        <v>3146748211090</v>
      </c>
      <c r="D29" s="172">
        <f>SUM(재무상태표!E30,재무상태표!E31,재무상태표!E32,재무상태표!E34,재무상태표!E36,재무상태표!E41,재무상태표!E42,재무상태표!E48)-SUM(재무상태표!E54,재무상태표!E56,재무상태표!E58,재무상태표!E59,재무상태표!E61,재무상태표!E64,재무상태표!E65,재무상태표!E66,재무상태표!E68)-SUM(재무상태표!D30,재무상태표!D31,재무상태표!D32,재무상태표!D34,재무상태표!D36,재무상태표!D41,재무상태표!D42,재무상태표!D48)+SUM(재무상태표!D54,재무상태표!D56,재무상태표!D58,재무상태표!D59,재무상태표!D61,재무상태표!D64,재무상태표!D65,재무상태표!D66,재무상태표!D68)</f>
        <v>-1303617587756.8096</v>
      </c>
      <c r="E29" s="172">
        <f>SUM(재무상태표!F30,재무상태표!F31,재무상태표!F32,재무상태표!F34,재무상태표!F36,재무상태표!F41,재무상태표!F42,재무상태표!F48)-SUM(재무상태표!F54,재무상태표!F56,재무상태표!F58,재무상태표!F59,재무상태표!F61,재무상태표!F64,재무상태표!F65,재무상태표!F66,재무상태표!F68)-SUM(재무상태표!E30,재무상태표!E31,재무상태표!E32,재무상태표!E34,재무상태표!E36,재무상태표!E41,재무상태표!E42,재무상태표!E48)+SUM(재무상태표!E54,재무상태표!E56,재무상태표!E58,재무상태표!E59,재무상태표!E61,재무상태표!E64,재무상태표!E65,재무상태표!E66,재무상태표!E68)</f>
        <v>697738188987.88672</v>
      </c>
      <c r="F29" s="172">
        <f>SUM(재무상태표!G30,재무상태표!G31,재무상태표!G32,재무상태표!G34,재무상태표!G36,재무상태표!G41,재무상태표!G42,재무상태표!G48)-SUM(재무상태표!G54,재무상태표!G56,재무상태표!G58,재무상태표!G59,재무상태표!G61,재무상태표!G64,재무상태표!G65,재무상태표!G66,재무상태표!G68)-SUM(재무상태표!F30,재무상태표!F31,재무상태표!F32,재무상태표!F34,재무상태표!F36,재무상태표!F41,재무상태표!F42,재무상태표!F48)+SUM(재무상태표!F54,재무상태표!F56,재무상태표!F58,재무상태표!F59,재무상태표!F61,재무상태표!F64,재무상태표!F65,재무상태표!F66,재무상태표!F68)</f>
        <v>-111269423194.12207</v>
      </c>
    </row>
    <row r="30" spans="1:6">
      <c r="B30" s="171" t="s">
        <v>311</v>
      </c>
      <c r="C30" s="172">
        <f t="shared" ref="C30:F30" si="1">C24+C25+C26-C27+C28-C29</f>
        <v>-227330576040</v>
      </c>
      <c r="D30" s="172">
        <f t="shared" si="1"/>
        <v>2386160089553.6987</v>
      </c>
      <c r="E30" s="172">
        <f t="shared" si="1"/>
        <v>2844051668467.4434</v>
      </c>
      <c r="F30" s="172">
        <f t="shared" si="1"/>
        <v>5951064132792.7119</v>
      </c>
    </row>
  </sheetData>
  <phoneticPr fontId="69" type="noConversion"/>
  <pageMargins left="0.7" right="0.7" top="0.75" bottom="0.75" header="0.3" footer="0.3"/>
  <drawing r:id="rId1"/>
  <legacy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O144"/>
  <sheetViews>
    <sheetView workbookViewId="0">
      <pane ySplit="1" topLeftCell="A2" activePane="bottomLeft" state="frozen"/>
      <selection pane="bottomLeft" activeCell="B3" sqref="B3"/>
    </sheetView>
  </sheetViews>
  <sheetFormatPr defaultColWidth="12.6640625" defaultRowHeight="15.75" customHeight="1"/>
  <cols>
    <col min="1" max="1" width="12.6640625" customWidth="1"/>
    <col min="2" max="2" width="133.109375" customWidth="1"/>
    <col min="3" max="3" width="23.21875" customWidth="1"/>
    <col min="4" max="4" width="42.88671875" customWidth="1"/>
    <col min="5" max="10" width="12.6640625" customWidth="1"/>
    <col min="11" max="11" width="9.44140625" customWidth="1"/>
    <col min="12" max="12" width="17.44140625" customWidth="1"/>
  </cols>
  <sheetData>
    <row r="1" spans="1:4" ht="17.25" customHeight="1">
      <c r="A1" s="173" t="s">
        <v>312</v>
      </c>
      <c r="B1" s="174" t="s">
        <v>313</v>
      </c>
      <c r="C1" s="174" t="s">
        <v>314</v>
      </c>
    </row>
    <row r="2" spans="1:4" ht="37.799999999999997">
      <c r="A2" s="342" t="s">
        <v>315</v>
      </c>
      <c r="B2" s="343"/>
      <c r="C2" s="343"/>
    </row>
    <row r="3" spans="1:4" ht="31.8">
      <c r="A3" s="175" t="s">
        <v>316</v>
      </c>
    </row>
    <row r="4" spans="1:4" ht="13.2">
      <c r="A4" s="176" t="s">
        <v>317</v>
      </c>
    </row>
    <row r="5" spans="1:4" ht="13.2">
      <c r="B5" s="1" t="s">
        <v>318</v>
      </c>
      <c r="C5" s="177" t="s">
        <v>319</v>
      </c>
    </row>
    <row r="6" spans="1:4" ht="13.2">
      <c r="A6" s="176"/>
      <c r="B6" s="1" t="s">
        <v>320</v>
      </c>
      <c r="C6" s="1" t="s">
        <v>321</v>
      </c>
    </row>
    <row r="7" spans="1:4" ht="13.2">
      <c r="A7" s="176"/>
      <c r="B7" s="1" t="s">
        <v>322</v>
      </c>
      <c r="C7" s="177" t="s">
        <v>323</v>
      </c>
      <c r="D7" s="1" t="s">
        <v>324</v>
      </c>
    </row>
    <row r="8" spans="1:4" ht="13.2">
      <c r="A8" s="176"/>
      <c r="B8" s="1" t="s">
        <v>325</v>
      </c>
      <c r="C8" s="1" t="s">
        <v>326</v>
      </c>
      <c r="D8" s="1"/>
    </row>
    <row r="9" spans="1:4" ht="13.2">
      <c r="A9" s="176" t="s">
        <v>327</v>
      </c>
    </row>
    <row r="10" spans="1:4" ht="13.2">
      <c r="A10" s="176"/>
      <c r="B10" s="1" t="s">
        <v>328</v>
      </c>
      <c r="C10" s="177" t="s">
        <v>329</v>
      </c>
    </row>
    <row r="11" spans="1:4" ht="13.2">
      <c r="A11" s="176"/>
    </row>
    <row r="12" spans="1:4" ht="13.2">
      <c r="A12" s="176"/>
    </row>
    <row r="13" spans="1:4" ht="13.2">
      <c r="A13" s="176" t="s">
        <v>330</v>
      </c>
    </row>
    <row r="14" spans="1:4" ht="19.2">
      <c r="A14" s="178"/>
      <c r="B14" s="1" t="s">
        <v>331</v>
      </c>
      <c r="C14" s="71" t="s">
        <v>332</v>
      </c>
    </row>
    <row r="15" spans="1:4" ht="19.2">
      <c r="A15" s="178"/>
      <c r="B15" s="1" t="s">
        <v>333</v>
      </c>
      <c r="C15" s="71" t="s">
        <v>334</v>
      </c>
    </row>
    <row r="16" spans="1:4" ht="19.2">
      <c r="A16" s="178"/>
      <c r="B16" s="1" t="s">
        <v>335</v>
      </c>
    </row>
    <row r="17" spans="1:5" ht="19.2">
      <c r="A17" s="178"/>
      <c r="B17" s="1" t="s">
        <v>336</v>
      </c>
      <c r="C17" s="71" t="s">
        <v>334</v>
      </c>
    </row>
    <row r="18" spans="1:5" ht="19.2">
      <c r="A18" s="178"/>
      <c r="B18" s="1" t="s">
        <v>337</v>
      </c>
      <c r="C18" s="71" t="s">
        <v>334</v>
      </c>
    </row>
    <row r="19" spans="1:5" ht="19.2">
      <c r="A19" s="178" t="s">
        <v>338</v>
      </c>
    </row>
    <row r="20" spans="1:5" ht="13.2">
      <c r="A20" s="179" t="s">
        <v>339</v>
      </c>
    </row>
    <row r="21" spans="1:5" ht="13.2">
      <c r="A21" s="179"/>
      <c r="B21" s="1" t="s">
        <v>340</v>
      </c>
      <c r="C21" s="71" t="s">
        <v>341</v>
      </c>
    </row>
    <row r="22" spans="1:5" ht="13.2">
      <c r="A22" s="179"/>
    </row>
    <row r="23" spans="1:5" ht="13.2">
      <c r="A23" s="179"/>
    </row>
    <row r="24" spans="1:5" ht="13.2">
      <c r="A24" s="179" t="s">
        <v>342</v>
      </c>
    </row>
    <row r="25" spans="1:5" ht="31.8">
      <c r="A25" s="175"/>
      <c r="B25" s="1" t="s">
        <v>343</v>
      </c>
    </row>
    <row r="26" spans="1:5" ht="31.8">
      <c r="A26" s="175"/>
    </row>
    <row r="27" spans="1:5" ht="31.8">
      <c r="A27" s="175"/>
    </row>
    <row r="28" spans="1:5" ht="31.8">
      <c r="A28" s="175" t="s">
        <v>344</v>
      </c>
    </row>
    <row r="29" spans="1:5" ht="19.2">
      <c r="A29" s="178" t="s">
        <v>345</v>
      </c>
    </row>
    <row r="30" spans="1:5" ht="13.2">
      <c r="A30" s="179" t="s">
        <v>346</v>
      </c>
    </row>
    <row r="31" spans="1:5" ht="13.2">
      <c r="A31" s="179" t="s">
        <v>347</v>
      </c>
      <c r="B31" s="1" t="s">
        <v>348</v>
      </c>
      <c r="C31" s="71" t="s">
        <v>349</v>
      </c>
      <c r="D31" s="71" t="s">
        <v>350</v>
      </c>
    </row>
    <row r="32" spans="1:5" ht="13.2">
      <c r="A32" s="179"/>
      <c r="B32" s="1" t="s">
        <v>351</v>
      </c>
      <c r="C32" s="71" t="s">
        <v>349</v>
      </c>
      <c r="D32" s="71" t="s">
        <v>352</v>
      </c>
      <c r="E32" s="71" t="s">
        <v>353</v>
      </c>
    </row>
    <row r="33" spans="1:11" ht="13.2">
      <c r="A33" s="179"/>
      <c r="B33" s="1" t="s">
        <v>354</v>
      </c>
      <c r="C33" s="71" t="s">
        <v>355</v>
      </c>
      <c r="E33" s="1"/>
    </row>
    <row r="34" spans="1:11" ht="13.2">
      <c r="A34" s="179"/>
      <c r="B34" s="1" t="s">
        <v>356</v>
      </c>
      <c r="C34" s="71" t="s">
        <v>357</v>
      </c>
      <c r="D34" s="71" t="s">
        <v>358</v>
      </c>
      <c r="E34" s="71" t="s">
        <v>359</v>
      </c>
    </row>
    <row r="35" spans="1:11" ht="13.2">
      <c r="A35" s="179"/>
      <c r="B35" s="1" t="s">
        <v>360</v>
      </c>
      <c r="C35" s="71" t="s">
        <v>349</v>
      </c>
      <c r="D35" s="71" t="s">
        <v>361</v>
      </c>
    </row>
    <row r="36" spans="1:11" ht="13.2">
      <c r="A36" s="179" t="s">
        <v>362</v>
      </c>
      <c r="B36" s="1" t="s">
        <v>363</v>
      </c>
      <c r="C36" s="71" t="s">
        <v>364</v>
      </c>
    </row>
    <row r="37" spans="1:11" ht="13.2">
      <c r="A37" s="179"/>
      <c r="B37" s="1" t="s">
        <v>365</v>
      </c>
      <c r="C37" s="71" t="s">
        <v>366</v>
      </c>
    </row>
    <row r="38" spans="1:11" ht="13.2">
      <c r="A38" s="179" t="s">
        <v>367</v>
      </c>
    </row>
    <row r="39" spans="1:11" ht="19.2">
      <c r="A39" s="178"/>
      <c r="B39" s="1" t="s">
        <v>368</v>
      </c>
    </row>
    <row r="40" spans="1:11" ht="19.2">
      <c r="A40" s="178"/>
      <c r="B40" s="1" t="s">
        <v>369</v>
      </c>
      <c r="C40" s="71" t="s">
        <v>370</v>
      </c>
    </row>
    <row r="41" spans="1:11" ht="19.2">
      <c r="A41" s="178"/>
      <c r="B41" s="1" t="s">
        <v>371</v>
      </c>
    </row>
    <row r="42" spans="1:11" ht="19.2">
      <c r="A42" s="178" t="s">
        <v>372</v>
      </c>
    </row>
    <row r="43" spans="1:11" ht="13.2">
      <c r="A43" s="179" t="s">
        <v>373</v>
      </c>
    </row>
    <row r="44" spans="1:11" ht="13.2">
      <c r="A44" s="179"/>
      <c r="B44" s="1" t="s">
        <v>374</v>
      </c>
      <c r="C44" s="71" t="s">
        <v>375</v>
      </c>
      <c r="D44" s="71" t="s">
        <v>376</v>
      </c>
      <c r="G44" s="344"/>
      <c r="H44" s="343"/>
      <c r="I44" s="343"/>
      <c r="J44" s="343"/>
      <c r="K44" s="343"/>
    </row>
    <row r="45" spans="1:11" ht="13.2">
      <c r="A45" s="179"/>
      <c r="B45" s="1" t="s">
        <v>377</v>
      </c>
      <c r="C45" s="71" t="s">
        <v>378</v>
      </c>
      <c r="E45" s="344"/>
      <c r="F45" s="343"/>
      <c r="G45" s="343"/>
      <c r="H45" s="343"/>
      <c r="I45" s="343"/>
    </row>
    <row r="46" spans="1:11" ht="13.2">
      <c r="A46" s="179"/>
      <c r="B46" s="1" t="s">
        <v>379</v>
      </c>
    </row>
    <row r="47" spans="1:11" ht="13.2">
      <c r="A47" s="179" t="s">
        <v>380</v>
      </c>
    </row>
    <row r="48" spans="1:11" ht="13.2">
      <c r="A48" s="71" t="s">
        <v>381</v>
      </c>
      <c r="C48" s="1" t="s">
        <v>382</v>
      </c>
      <c r="D48" s="1" t="s">
        <v>383</v>
      </c>
      <c r="E48" s="1" t="s">
        <v>384</v>
      </c>
      <c r="F48" s="1" t="s">
        <v>385</v>
      </c>
      <c r="G48" s="1"/>
    </row>
    <row r="49" spans="1:12" ht="13.2">
      <c r="A49" s="179"/>
      <c r="C49" s="1" t="s">
        <v>386</v>
      </c>
      <c r="D49" s="1">
        <v>155.69999999999999</v>
      </c>
      <c r="E49" s="1">
        <v>41.07</v>
      </c>
      <c r="F49" s="1">
        <v>21.67</v>
      </c>
      <c r="K49" s="1"/>
      <c r="L49" s="1"/>
    </row>
    <row r="50" spans="1:12" ht="13.2">
      <c r="A50" s="179"/>
      <c r="C50" s="1" t="s">
        <v>387</v>
      </c>
      <c r="D50" s="1">
        <v>13.04</v>
      </c>
      <c r="E50" s="1">
        <v>25.24</v>
      </c>
      <c r="F50" s="1">
        <v>37.99</v>
      </c>
      <c r="K50" s="1"/>
      <c r="L50" s="1"/>
    </row>
    <row r="51" spans="1:12" ht="13.2">
      <c r="A51" s="179"/>
      <c r="C51" s="1" t="s">
        <v>388</v>
      </c>
      <c r="D51" s="1">
        <v>1.04</v>
      </c>
      <c r="E51" s="1">
        <v>1.76</v>
      </c>
      <c r="F51" s="1">
        <v>1.47</v>
      </c>
      <c r="K51" s="1"/>
      <c r="L51" s="1"/>
    </row>
    <row r="52" spans="1:12" ht="13.2">
      <c r="A52" s="179"/>
      <c r="C52" s="1" t="s">
        <v>389</v>
      </c>
      <c r="D52" s="43">
        <v>0.34160000000000001</v>
      </c>
      <c r="E52" s="43">
        <v>0.33329999999999999</v>
      </c>
      <c r="F52" s="43">
        <v>0.32479999999999998</v>
      </c>
      <c r="G52" s="1" t="s">
        <v>390</v>
      </c>
      <c r="K52" s="1"/>
      <c r="L52" s="1"/>
    </row>
    <row r="53" spans="1:12" ht="13.2">
      <c r="A53" s="179"/>
      <c r="C53" s="1" t="s">
        <v>391</v>
      </c>
      <c r="D53" s="1">
        <v>268.5</v>
      </c>
      <c r="E53" s="1">
        <v>221.6</v>
      </c>
      <c r="F53" s="1">
        <v>238.5</v>
      </c>
      <c r="G53" s="1" t="s">
        <v>392</v>
      </c>
    </row>
    <row r="54" spans="1:12" ht="13.2">
      <c r="A54" s="179"/>
      <c r="C54" s="1" t="s">
        <v>393</v>
      </c>
      <c r="D54" s="43">
        <v>0.11700000000000001</v>
      </c>
      <c r="E54" s="43">
        <v>0.16900000000000001</v>
      </c>
      <c r="F54" s="43">
        <v>0.14799999999999999</v>
      </c>
    </row>
    <row r="55" spans="1:12" ht="13.2">
      <c r="A55" s="179" t="s">
        <v>394</v>
      </c>
      <c r="D55" s="1" t="s">
        <v>395</v>
      </c>
    </row>
    <row r="56" spans="1:12" ht="31.8">
      <c r="A56" s="175"/>
      <c r="B56" s="1" t="s">
        <v>396</v>
      </c>
    </row>
    <row r="57" spans="1:12" ht="31.8">
      <c r="A57" s="175"/>
      <c r="B57" s="1" t="s">
        <v>397</v>
      </c>
      <c r="C57" s="71" t="s">
        <v>361</v>
      </c>
    </row>
    <row r="58" spans="1:12" ht="13.2">
      <c r="A58" s="179"/>
      <c r="B58" s="1" t="s">
        <v>398</v>
      </c>
    </row>
    <row r="59" spans="1:12" ht="13.2">
      <c r="A59" s="179"/>
      <c r="B59" s="1" t="s">
        <v>399</v>
      </c>
    </row>
    <row r="60" spans="1:12" ht="31.8">
      <c r="A60" s="175"/>
      <c r="B60" s="1" t="s">
        <v>400</v>
      </c>
      <c r="C60" s="1"/>
      <c r="D60" s="1"/>
    </row>
    <row r="61" spans="1:12" ht="31.8">
      <c r="A61" s="175"/>
      <c r="B61" s="1" t="s">
        <v>401</v>
      </c>
      <c r="C61" s="71" t="s">
        <v>352</v>
      </c>
      <c r="D61" s="71" t="s">
        <v>402</v>
      </c>
    </row>
    <row r="62" spans="1:12" ht="31.8">
      <c r="A62" s="175"/>
      <c r="B62" s="1" t="s">
        <v>403</v>
      </c>
      <c r="C62" s="71" t="s">
        <v>352</v>
      </c>
    </row>
    <row r="63" spans="1:12" ht="31.8">
      <c r="A63" s="175"/>
      <c r="B63" s="1" t="s">
        <v>404</v>
      </c>
      <c r="C63" s="71" t="s">
        <v>405</v>
      </c>
    </row>
    <row r="64" spans="1:12" ht="31.8">
      <c r="A64" s="175"/>
      <c r="B64" s="1" t="s">
        <v>406</v>
      </c>
      <c r="C64" s="71" t="s">
        <v>407</v>
      </c>
    </row>
    <row r="65" spans="1:7" ht="31.8">
      <c r="A65" s="175"/>
      <c r="B65" s="1" t="s">
        <v>408</v>
      </c>
      <c r="C65" s="71" t="s">
        <v>409</v>
      </c>
    </row>
    <row r="66" spans="1:7" ht="31.8">
      <c r="A66" s="175" t="s">
        <v>410</v>
      </c>
    </row>
    <row r="67" spans="1:7" ht="19.2">
      <c r="A67" s="178" t="s">
        <v>411</v>
      </c>
    </row>
    <row r="68" spans="1:7" ht="13.2">
      <c r="A68" s="179" t="s">
        <v>412</v>
      </c>
    </row>
    <row r="69" spans="1:7" ht="13.2">
      <c r="A69" s="179"/>
      <c r="B69" s="1" t="s">
        <v>413</v>
      </c>
      <c r="C69" s="71" t="s">
        <v>414</v>
      </c>
    </row>
    <row r="70" spans="1:7" ht="13.2">
      <c r="A70" s="179"/>
      <c r="B70" s="1" t="s">
        <v>415</v>
      </c>
      <c r="C70" s="177" t="s">
        <v>416</v>
      </c>
    </row>
    <row r="71" spans="1:7" ht="13.2">
      <c r="A71" s="179"/>
      <c r="C71" s="1"/>
    </row>
    <row r="72" spans="1:7" ht="13.2">
      <c r="A72" s="179" t="s">
        <v>417</v>
      </c>
    </row>
    <row r="73" spans="1:7" ht="13.2">
      <c r="A73" s="179"/>
      <c r="B73" s="1" t="s">
        <v>418</v>
      </c>
      <c r="C73" s="1" t="s">
        <v>419</v>
      </c>
      <c r="D73" s="177" t="s">
        <v>420</v>
      </c>
    </row>
    <row r="74" spans="1:7" ht="13.2">
      <c r="A74" s="179"/>
      <c r="B74" s="1" t="s">
        <v>421</v>
      </c>
    </row>
    <row r="75" spans="1:7" ht="13.2">
      <c r="A75" s="179"/>
      <c r="B75" s="1" t="s">
        <v>422</v>
      </c>
    </row>
    <row r="76" spans="1:7" ht="13.2">
      <c r="A76" s="179" t="s">
        <v>423</v>
      </c>
    </row>
    <row r="77" spans="1:7" ht="13.2">
      <c r="A77" s="179"/>
      <c r="B77" s="180"/>
      <c r="C77" s="180" t="s">
        <v>424</v>
      </c>
      <c r="D77" s="180" t="s">
        <v>425</v>
      </c>
      <c r="E77" s="180" t="s">
        <v>426</v>
      </c>
      <c r="F77" s="180" t="s">
        <v>427</v>
      </c>
      <c r="G77" s="180" t="s">
        <v>428</v>
      </c>
    </row>
    <row r="78" spans="1:7" ht="13.2">
      <c r="A78" s="1"/>
      <c r="B78" s="180"/>
      <c r="C78" s="180" t="s">
        <v>429</v>
      </c>
      <c r="D78" s="180" t="s">
        <v>430</v>
      </c>
      <c r="E78" s="180" t="s">
        <v>431</v>
      </c>
      <c r="F78" s="180" t="s">
        <v>432</v>
      </c>
      <c r="G78" s="180" t="s">
        <v>433</v>
      </c>
    </row>
    <row r="79" spans="1:7" ht="13.2">
      <c r="A79" s="1"/>
      <c r="B79" s="180"/>
      <c r="C79" s="180" t="s">
        <v>434</v>
      </c>
      <c r="D79" s="180" t="s">
        <v>435</v>
      </c>
      <c r="E79" s="180" t="s">
        <v>436</v>
      </c>
      <c r="F79" s="180" t="s">
        <v>437</v>
      </c>
      <c r="G79" s="180" t="s">
        <v>438</v>
      </c>
    </row>
    <row r="80" spans="1:7" ht="13.2">
      <c r="A80" s="1"/>
      <c r="B80" s="180"/>
      <c r="C80" s="180" t="s">
        <v>439</v>
      </c>
      <c r="D80" s="180" t="s">
        <v>440</v>
      </c>
      <c r="E80" s="180" t="s">
        <v>441</v>
      </c>
      <c r="F80" s="180" t="s">
        <v>442</v>
      </c>
      <c r="G80" s="180" t="s">
        <v>443</v>
      </c>
    </row>
    <row r="81" spans="1:15" ht="13.2">
      <c r="A81" s="1"/>
      <c r="B81" s="180"/>
      <c r="C81" s="180" t="s">
        <v>444</v>
      </c>
      <c r="D81" s="180" t="s">
        <v>445</v>
      </c>
      <c r="E81" s="180" t="s">
        <v>446</v>
      </c>
      <c r="F81" s="180" t="s">
        <v>447</v>
      </c>
      <c r="G81" s="180" t="s">
        <v>448</v>
      </c>
    </row>
    <row r="82" spans="1:15" ht="13.2">
      <c r="A82" s="1"/>
      <c r="B82" s="180"/>
      <c r="C82" s="180" t="s">
        <v>449</v>
      </c>
      <c r="D82" s="180" t="s">
        <v>450</v>
      </c>
      <c r="E82" s="180" t="s">
        <v>451</v>
      </c>
      <c r="F82" s="180" t="s">
        <v>452</v>
      </c>
      <c r="G82" s="180" t="s">
        <v>453</v>
      </c>
    </row>
    <row r="83" spans="1:15" ht="13.2">
      <c r="A83" s="1"/>
      <c r="B83" s="180"/>
      <c r="C83" s="180" t="s">
        <v>454</v>
      </c>
      <c r="D83" s="180" t="s">
        <v>455</v>
      </c>
      <c r="E83" s="180" t="s">
        <v>456</v>
      </c>
      <c r="F83" s="180" t="s">
        <v>457</v>
      </c>
      <c r="G83" s="180" t="s">
        <v>458</v>
      </c>
    </row>
    <row r="84" spans="1:15" ht="13.2">
      <c r="A84" s="1"/>
      <c r="B84" s="180"/>
      <c r="C84" s="180" t="s">
        <v>459</v>
      </c>
      <c r="D84" s="180" t="s">
        <v>460</v>
      </c>
      <c r="E84" s="180" t="s">
        <v>461</v>
      </c>
      <c r="F84" s="180" t="s">
        <v>462</v>
      </c>
      <c r="G84" s="180" t="s">
        <v>463</v>
      </c>
    </row>
    <row r="85" spans="1:15" ht="13.2">
      <c r="A85" s="179"/>
    </row>
    <row r="86" spans="1:15" ht="13.2">
      <c r="A86" s="179" t="s">
        <v>464</v>
      </c>
    </row>
    <row r="87" spans="1:15" ht="19.2">
      <c r="A87" s="178"/>
      <c r="B87" s="1" t="s">
        <v>465</v>
      </c>
      <c r="C87" s="177" t="s">
        <v>466</v>
      </c>
      <c r="D87" s="177" t="s">
        <v>467</v>
      </c>
      <c r="K87" s="88" t="s">
        <v>468</v>
      </c>
      <c r="L87" s="88"/>
      <c r="M87" s="88"/>
      <c r="N87" s="88"/>
      <c r="O87" s="88"/>
    </row>
    <row r="88" spans="1:15" ht="19.2">
      <c r="A88" s="178"/>
      <c r="B88" s="1" t="s">
        <v>469</v>
      </c>
      <c r="C88" s="71" t="s">
        <v>470</v>
      </c>
      <c r="D88" s="71" t="s">
        <v>471</v>
      </c>
      <c r="K88" s="88" t="s">
        <v>472</v>
      </c>
      <c r="L88" s="181">
        <v>37</v>
      </c>
      <c r="M88" s="88"/>
      <c r="N88" s="88" t="s">
        <v>473</v>
      </c>
      <c r="O88" s="181">
        <v>1</v>
      </c>
    </row>
    <row r="89" spans="1:15" ht="19.2">
      <c r="A89" s="178"/>
      <c r="B89" s="1" t="s">
        <v>474</v>
      </c>
      <c r="C89" s="177" t="s">
        <v>475</v>
      </c>
      <c r="K89" s="88" t="s">
        <v>476</v>
      </c>
      <c r="L89" s="181">
        <v>24</v>
      </c>
      <c r="M89" s="88"/>
      <c r="N89" s="88" t="s">
        <v>477</v>
      </c>
      <c r="O89" s="181">
        <v>11</v>
      </c>
    </row>
    <row r="90" spans="1:15" ht="19.2">
      <c r="A90" s="178" t="s">
        <v>478</v>
      </c>
      <c r="K90" s="88" t="s">
        <v>479</v>
      </c>
      <c r="L90" s="181">
        <v>23</v>
      </c>
      <c r="M90" s="88"/>
      <c r="N90" s="88" t="s">
        <v>480</v>
      </c>
      <c r="O90" s="181">
        <v>2</v>
      </c>
    </row>
    <row r="91" spans="1:15" ht="15.6">
      <c r="A91" s="179" t="s">
        <v>481</v>
      </c>
      <c r="K91" s="88" t="s">
        <v>482</v>
      </c>
      <c r="L91" s="181">
        <v>1</v>
      </c>
      <c r="M91" s="88"/>
      <c r="N91" s="88" t="s">
        <v>483</v>
      </c>
      <c r="O91" s="181">
        <v>3</v>
      </c>
    </row>
    <row r="92" spans="1:15" ht="31.8">
      <c r="A92" s="175"/>
      <c r="B92" s="1" t="s">
        <v>484</v>
      </c>
      <c r="C92" s="71" t="s">
        <v>485</v>
      </c>
      <c r="K92" s="345" t="s">
        <v>486</v>
      </c>
      <c r="L92" s="343"/>
      <c r="M92" s="88"/>
      <c r="N92" s="88" t="s">
        <v>487</v>
      </c>
      <c r="O92" s="181">
        <v>1</v>
      </c>
    </row>
    <row r="93" spans="1:15" ht="31.8">
      <c r="A93" s="175"/>
      <c r="B93" s="1" t="s">
        <v>488</v>
      </c>
      <c r="K93" s="88" t="s">
        <v>489</v>
      </c>
      <c r="L93" s="181">
        <v>4</v>
      </c>
      <c r="M93" s="88"/>
      <c r="N93" s="88" t="s">
        <v>490</v>
      </c>
      <c r="O93" s="181">
        <v>2</v>
      </c>
    </row>
    <row r="94" spans="1:15" ht="15.6">
      <c r="B94" s="1" t="s">
        <v>491</v>
      </c>
      <c r="C94" s="1" t="s">
        <v>419</v>
      </c>
      <c r="K94" s="88" t="s">
        <v>492</v>
      </c>
      <c r="L94" s="181">
        <v>2</v>
      </c>
      <c r="M94" s="88"/>
      <c r="N94" s="88" t="s">
        <v>493</v>
      </c>
      <c r="O94" s="181">
        <v>1</v>
      </c>
    </row>
    <row r="95" spans="1:15" ht="15.6">
      <c r="B95" s="1" t="s">
        <v>494</v>
      </c>
      <c r="C95" s="71" t="s">
        <v>495</v>
      </c>
      <c r="K95" s="88" t="s">
        <v>496</v>
      </c>
      <c r="L95" s="181">
        <v>1</v>
      </c>
      <c r="M95" s="88"/>
      <c r="N95" s="88" t="s">
        <v>497</v>
      </c>
      <c r="O95" s="181">
        <v>6</v>
      </c>
    </row>
    <row r="96" spans="1:15" ht="15.6">
      <c r="K96" s="88" t="s">
        <v>498</v>
      </c>
      <c r="L96" s="181">
        <v>1</v>
      </c>
      <c r="M96" s="88"/>
      <c r="N96" s="88" t="s">
        <v>499</v>
      </c>
      <c r="O96" s="181">
        <v>1</v>
      </c>
    </row>
    <row r="97" spans="1:15" ht="15.6">
      <c r="C97" s="1" t="s">
        <v>500</v>
      </c>
      <c r="K97" s="88" t="s">
        <v>501</v>
      </c>
      <c r="L97" s="181">
        <v>10</v>
      </c>
      <c r="M97" s="88"/>
      <c r="N97" s="88" t="s">
        <v>502</v>
      </c>
      <c r="O97" s="181">
        <v>4</v>
      </c>
    </row>
    <row r="98" spans="1:15" ht="15.6">
      <c r="K98" s="88" t="s">
        <v>503</v>
      </c>
      <c r="L98" s="181">
        <v>1</v>
      </c>
      <c r="M98" s="88"/>
      <c r="N98" s="88" t="s">
        <v>504</v>
      </c>
      <c r="O98" s="181">
        <v>2</v>
      </c>
    </row>
    <row r="99" spans="1:15" ht="15.6">
      <c r="K99" s="88"/>
      <c r="L99" s="181" t="s">
        <v>505</v>
      </c>
      <c r="M99" s="88"/>
      <c r="N99" s="88"/>
      <c r="O99" s="88"/>
    </row>
    <row r="105" spans="1:15" ht="31.8">
      <c r="A105" s="175" t="s">
        <v>506</v>
      </c>
    </row>
    <row r="106" spans="1:15" ht="13.2">
      <c r="A106" s="179" t="s">
        <v>507</v>
      </c>
    </row>
    <row r="107" spans="1:15" ht="13.2">
      <c r="A107" s="179" t="s">
        <v>508</v>
      </c>
      <c r="B107" s="1">
        <f>5225800000000*D120/100</f>
        <v>4121533451578.9468</v>
      </c>
    </row>
    <row r="108" spans="1:15" ht="13.2">
      <c r="A108" s="179"/>
      <c r="B108" s="1" t="s">
        <v>509</v>
      </c>
    </row>
    <row r="109" spans="1:15" ht="13.2">
      <c r="A109" s="179"/>
    </row>
    <row r="110" spans="1:15" ht="13.2">
      <c r="A110" s="179"/>
    </row>
    <row r="111" spans="1:15" ht="13.2">
      <c r="A111" s="179"/>
    </row>
    <row r="112" spans="1:15" ht="13.2">
      <c r="A112" s="179" t="s">
        <v>510</v>
      </c>
      <c r="B112" s="1" t="s">
        <v>511</v>
      </c>
    </row>
    <row r="113" spans="1:4" ht="13.2">
      <c r="A113" s="179" t="s">
        <v>512</v>
      </c>
      <c r="B113" s="1" t="s">
        <v>513</v>
      </c>
    </row>
    <row r="114" spans="1:4" ht="13.2">
      <c r="A114" s="179" t="s">
        <v>514</v>
      </c>
    </row>
    <row r="115" spans="1:4" ht="13.2">
      <c r="A115" s="179" t="s">
        <v>515</v>
      </c>
    </row>
    <row r="116" spans="1:4" ht="13.2">
      <c r="A116" s="179" t="s">
        <v>516</v>
      </c>
    </row>
    <row r="117" spans="1:4" ht="13.2">
      <c r="A117" s="179" t="s">
        <v>517</v>
      </c>
    </row>
    <row r="118" spans="1:4" ht="13.2">
      <c r="A118" s="179" t="s">
        <v>518</v>
      </c>
    </row>
    <row r="119" spans="1:4" ht="13.2">
      <c r="A119" s="179" t="s">
        <v>519</v>
      </c>
    </row>
    <row r="120" spans="1:4" ht="13.2">
      <c r="A120" s="1" t="s">
        <v>520</v>
      </c>
      <c r="B120" s="1" t="s">
        <v>521</v>
      </c>
      <c r="C120" s="1">
        <v>100</v>
      </c>
      <c r="D120" s="1">
        <f>SUM(C120:C138)/19</f>
        <v>78.868947368421047</v>
      </c>
    </row>
    <row r="121" spans="1:4" ht="13.2">
      <c r="A121" s="1" t="s">
        <v>522</v>
      </c>
      <c r="B121" s="1" t="s">
        <v>523</v>
      </c>
      <c r="C121" s="1">
        <v>100</v>
      </c>
    </row>
    <row r="122" spans="1:4" ht="13.2">
      <c r="A122" s="1" t="s">
        <v>524</v>
      </c>
      <c r="B122" s="1" t="s">
        <v>521</v>
      </c>
      <c r="C122" s="1">
        <v>98.51</v>
      </c>
    </row>
    <row r="123" spans="1:4" ht="13.2">
      <c r="A123" s="1" t="s">
        <v>525</v>
      </c>
      <c r="B123" s="1" t="s">
        <v>526</v>
      </c>
      <c r="C123" s="1">
        <v>100</v>
      </c>
    </row>
    <row r="124" spans="1:4" ht="13.2">
      <c r="A124" s="1" t="s">
        <v>516</v>
      </c>
      <c r="B124" s="1" t="s">
        <v>527</v>
      </c>
      <c r="C124" s="1">
        <v>100</v>
      </c>
    </row>
    <row r="125" spans="1:4" ht="13.2">
      <c r="A125" s="1" t="s">
        <v>528</v>
      </c>
      <c r="B125" s="1" t="s">
        <v>529</v>
      </c>
      <c r="C125" s="1">
        <v>0</v>
      </c>
    </row>
    <row r="126" spans="1:4" ht="13.2">
      <c r="A126" s="1" t="s">
        <v>530</v>
      </c>
      <c r="B126" s="1" t="s">
        <v>531</v>
      </c>
      <c r="C126" s="1">
        <v>100</v>
      </c>
    </row>
    <row r="127" spans="1:4" ht="13.2">
      <c r="A127" s="1" t="s">
        <v>532</v>
      </c>
      <c r="B127" s="1" t="s">
        <v>533</v>
      </c>
      <c r="C127" s="1">
        <v>0</v>
      </c>
    </row>
    <row r="128" spans="1:4" ht="13.2">
      <c r="A128" s="1" t="s">
        <v>534</v>
      </c>
      <c r="B128" s="1" t="s">
        <v>535</v>
      </c>
      <c r="C128" s="1">
        <v>100</v>
      </c>
    </row>
    <row r="129" spans="1:3" ht="13.2">
      <c r="A129" s="1" t="s">
        <v>536</v>
      </c>
      <c r="B129" s="1" t="s">
        <v>535</v>
      </c>
      <c r="C129" s="1">
        <v>100</v>
      </c>
    </row>
    <row r="130" spans="1:3" ht="13.2">
      <c r="A130" s="1" t="s">
        <v>537</v>
      </c>
      <c r="B130" s="1" t="s">
        <v>538</v>
      </c>
      <c r="C130" s="1">
        <v>100</v>
      </c>
    </row>
    <row r="131" spans="1:3" ht="13.2">
      <c r="A131" s="1" t="s">
        <v>539</v>
      </c>
      <c r="B131" s="1" t="s">
        <v>533</v>
      </c>
      <c r="C131" s="1">
        <v>0</v>
      </c>
    </row>
    <row r="132" spans="1:3" ht="13.2">
      <c r="A132" s="1" t="s">
        <v>540</v>
      </c>
      <c r="B132" s="1" t="s">
        <v>538</v>
      </c>
      <c r="C132" s="1">
        <v>0</v>
      </c>
    </row>
    <row r="133" spans="1:3" ht="13.2">
      <c r="A133" s="1" t="s">
        <v>541</v>
      </c>
      <c r="B133" s="1" t="s">
        <v>542</v>
      </c>
      <c r="C133" s="1">
        <v>100</v>
      </c>
    </row>
    <row r="134" spans="1:3" ht="13.2">
      <c r="A134" s="1" t="s">
        <v>543</v>
      </c>
      <c r="B134" s="1" t="s">
        <v>544</v>
      </c>
      <c r="C134" s="1">
        <v>100</v>
      </c>
    </row>
    <row r="135" spans="1:3" ht="13.2">
      <c r="A135" s="1" t="s">
        <v>545</v>
      </c>
      <c r="B135" s="1" t="s">
        <v>546</v>
      </c>
      <c r="C135" s="1">
        <v>100</v>
      </c>
    </row>
    <row r="136" spans="1:3" ht="13.2">
      <c r="A136" s="1" t="s">
        <v>547</v>
      </c>
      <c r="B136" s="1" t="s">
        <v>548</v>
      </c>
      <c r="C136" s="1">
        <v>100</v>
      </c>
    </row>
    <row r="137" spans="1:3" ht="13.2">
      <c r="A137" s="1" t="s">
        <v>549</v>
      </c>
      <c r="B137" s="1" t="s">
        <v>546</v>
      </c>
      <c r="C137" s="1">
        <v>100</v>
      </c>
    </row>
    <row r="138" spans="1:3" ht="13.2">
      <c r="A138" s="1" t="s">
        <v>550</v>
      </c>
      <c r="C138" s="1">
        <v>100</v>
      </c>
    </row>
    <row r="140" spans="1:3" ht="13.2">
      <c r="C140" s="1" t="s">
        <v>551</v>
      </c>
    </row>
    <row r="142" spans="1:3" ht="13.2">
      <c r="C142" s="1"/>
    </row>
    <row r="144" spans="1:3" ht="13.2">
      <c r="C144" s="1"/>
    </row>
  </sheetData>
  <mergeCells count="4">
    <mergeCell ref="A2:C2"/>
    <mergeCell ref="G44:K44"/>
    <mergeCell ref="E45:I45"/>
    <mergeCell ref="K92:L92"/>
  </mergeCells>
  <phoneticPr fontId="69" type="noConversion"/>
  <hyperlinks>
    <hyperlink ref="C5" r:id="rId1" xr:uid="{00000000-0004-0000-0400-000000000000}"/>
    <hyperlink ref="C7" r:id="rId2" xr:uid="{00000000-0004-0000-0400-000001000000}"/>
    <hyperlink ref="C10" r:id="rId3" xr:uid="{00000000-0004-0000-0400-000002000000}"/>
    <hyperlink ref="C14" r:id="rId4" xr:uid="{00000000-0004-0000-0400-000003000000}"/>
    <hyperlink ref="C15" r:id="rId5" xr:uid="{00000000-0004-0000-0400-000004000000}"/>
    <hyperlink ref="C17" r:id="rId6" xr:uid="{00000000-0004-0000-0400-000005000000}"/>
    <hyperlink ref="C18" r:id="rId7" xr:uid="{00000000-0004-0000-0400-000006000000}"/>
    <hyperlink ref="C21" r:id="rId8" xr:uid="{00000000-0004-0000-0400-000007000000}"/>
    <hyperlink ref="C31" r:id="rId9" xr:uid="{00000000-0004-0000-0400-000008000000}"/>
    <hyperlink ref="D31" r:id="rId10" xr:uid="{00000000-0004-0000-0400-000009000000}"/>
    <hyperlink ref="C32" r:id="rId11" xr:uid="{00000000-0004-0000-0400-00000A000000}"/>
    <hyperlink ref="D32" r:id="rId12" xr:uid="{00000000-0004-0000-0400-00000B000000}"/>
    <hyperlink ref="E32" r:id="rId13" xr:uid="{00000000-0004-0000-0400-00000C000000}"/>
    <hyperlink ref="C33" r:id="rId14" xr:uid="{00000000-0004-0000-0400-00000D000000}"/>
    <hyperlink ref="C34" r:id="rId15" xr:uid="{00000000-0004-0000-0400-00000E000000}"/>
    <hyperlink ref="D34" r:id="rId16" xr:uid="{00000000-0004-0000-0400-00000F000000}"/>
    <hyperlink ref="E34" r:id="rId17" xr:uid="{00000000-0004-0000-0400-000010000000}"/>
    <hyperlink ref="C35" r:id="rId18" xr:uid="{00000000-0004-0000-0400-000011000000}"/>
    <hyperlink ref="D35" r:id="rId19" xr:uid="{00000000-0004-0000-0400-000012000000}"/>
    <hyperlink ref="C36" r:id="rId20" xr:uid="{00000000-0004-0000-0400-000013000000}"/>
    <hyperlink ref="C37" r:id="rId21" xr:uid="{00000000-0004-0000-0400-000014000000}"/>
    <hyperlink ref="C40" r:id="rId22" xr:uid="{00000000-0004-0000-0400-000015000000}"/>
    <hyperlink ref="C44" r:id="rId23" xr:uid="{00000000-0004-0000-0400-000016000000}"/>
    <hyperlink ref="D44" r:id="rId24" xr:uid="{00000000-0004-0000-0400-000017000000}"/>
    <hyperlink ref="C45" r:id="rId25" location=":~:text=%EC%98%AC%ED%95%B4%201%EC%9B%94%20%EA%B8%B0%EC%A4%80%20%EC%88%98%EC%A3%BC%EC%9E%94%EB%9F%89(%EB%82%A8%EC%9D%80%20%EA%B1%B4%EC%A1%B0%EB%AC%BC%EB%9F%89)%20%EC%88%9C%EC%9C%84,3%EC%9C%84%EB%A5%BC%20%EA%B8%B0%EB%A1%9D%ED%96%88%EC%8A%B5%EB%8B%88%EB%8B%A4." xr:uid="{00000000-0004-0000-0400-000018000000}"/>
    <hyperlink ref="A48" r:id="rId26" xr:uid="{00000000-0004-0000-0400-000019000000}"/>
    <hyperlink ref="C57" r:id="rId27" xr:uid="{00000000-0004-0000-0400-00001A000000}"/>
    <hyperlink ref="C61" r:id="rId28" xr:uid="{00000000-0004-0000-0400-00001B000000}"/>
    <hyperlink ref="D61" r:id="rId29" xr:uid="{00000000-0004-0000-0400-00001C000000}"/>
    <hyperlink ref="C62" r:id="rId30" xr:uid="{00000000-0004-0000-0400-00001D000000}"/>
    <hyperlink ref="C63" r:id="rId31" xr:uid="{00000000-0004-0000-0400-00001E000000}"/>
    <hyperlink ref="C64" r:id="rId32" xr:uid="{00000000-0004-0000-0400-00001F000000}"/>
    <hyperlink ref="C65" r:id="rId33" xr:uid="{00000000-0004-0000-0400-000020000000}"/>
    <hyperlink ref="C69" r:id="rId34" xr:uid="{00000000-0004-0000-0400-000021000000}"/>
    <hyperlink ref="C70" r:id="rId35" xr:uid="{00000000-0004-0000-0400-000022000000}"/>
    <hyperlink ref="D73" r:id="rId36" xr:uid="{00000000-0004-0000-0400-000023000000}"/>
    <hyperlink ref="C87" r:id="rId37" xr:uid="{00000000-0004-0000-0400-000024000000}"/>
    <hyperlink ref="D87" r:id="rId38" xr:uid="{00000000-0004-0000-0400-000025000000}"/>
    <hyperlink ref="C88" r:id="rId39" xr:uid="{00000000-0004-0000-0400-000026000000}"/>
    <hyperlink ref="D88" r:id="rId40" xr:uid="{00000000-0004-0000-0400-000027000000}"/>
    <hyperlink ref="C89" r:id="rId41" xr:uid="{00000000-0004-0000-0400-000028000000}"/>
    <hyperlink ref="C92" r:id="rId42" xr:uid="{00000000-0004-0000-0400-000029000000}"/>
    <hyperlink ref="C95" r:id="rId43" xr:uid="{00000000-0004-0000-0400-00002A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
  <sheetViews>
    <sheetView workbookViewId="0"/>
  </sheetViews>
  <sheetFormatPr defaultColWidth="12.6640625" defaultRowHeight="15.75" customHeight="1"/>
  <sheetData>
    <row r="1" spans="1:1" ht="15.75" customHeight="1">
      <c r="A1" s="182" t="s">
        <v>552</v>
      </c>
    </row>
  </sheetData>
  <phoneticPr fontId="69" type="noConversion"/>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C5"/>
  <sheetViews>
    <sheetView workbookViewId="0"/>
  </sheetViews>
  <sheetFormatPr defaultColWidth="12.6640625" defaultRowHeight="15.75" customHeight="1"/>
  <sheetData>
    <row r="1" spans="1:3">
      <c r="A1" s="1" t="s">
        <v>553</v>
      </c>
    </row>
    <row r="2" spans="1:3">
      <c r="A2" s="1" t="s">
        <v>554</v>
      </c>
    </row>
    <row r="3" spans="1:3">
      <c r="A3" s="1" t="s">
        <v>555</v>
      </c>
    </row>
    <row r="4" spans="1:3">
      <c r="A4" s="1" t="s">
        <v>556</v>
      </c>
      <c r="B4" s="1" t="s">
        <v>557</v>
      </c>
      <c r="C4" s="179" t="s">
        <v>558</v>
      </c>
    </row>
    <row r="5" spans="1:3">
      <c r="A5" s="179" t="s">
        <v>559</v>
      </c>
    </row>
  </sheetData>
  <phoneticPr fontId="69"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T1026"/>
  <sheetViews>
    <sheetView workbookViewId="0"/>
  </sheetViews>
  <sheetFormatPr defaultColWidth="12.6640625" defaultRowHeight="15.75" customHeight="1"/>
  <cols>
    <col min="3" max="3" width="20.44140625" customWidth="1"/>
    <col min="4" max="4" width="16.44140625" customWidth="1"/>
    <col min="5" max="5" width="18.33203125" customWidth="1"/>
    <col min="6" max="6" width="21.21875" customWidth="1"/>
    <col min="7" max="8" width="17.6640625" customWidth="1"/>
  </cols>
  <sheetData>
    <row r="1" spans="1:20" ht="13.2">
      <c r="A1" s="1" t="s">
        <v>85</v>
      </c>
      <c r="D1" s="3"/>
      <c r="E1" s="3"/>
      <c r="F1" s="3"/>
      <c r="G1" s="3"/>
      <c r="H1" s="3"/>
      <c r="I1" s="3"/>
      <c r="M1" s="1" t="s">
        <v>560</v>
      </c>
      <c r="O1" s="1" t="s">
        <v>561</v>
      </c>
      <c r="Q1" s="1" t="s">
        <v>562</v>
      </c>
      <c r="S1" s="1" t="s">
        <v>134</v>
      </c>
    </row>
    <row r="2" spans="1:20" ht="13.2">
      <c r="D2" s="3" t="s">
        <v>563</v>
      </c>
      <c r="E2" s="3" t="s">
        <v>564</v>
      </c>
      <c r="F2" s="3" t="s">
        <v>565</v>
      </c>
      <c r="G2" s="3">
        <v>2024</v>
      </c>
      <c r="H2" s="3"/>
      <c r="I2" s="3"/>
      <c r="M2" s="1" t="s">
        <v>566</v>
      </c>
      <c r="O2" s="1" t="s">
        <v>567</v>
      </c>
      <c r="Q2" s="1" t="s">
        <v>567</v>
      </c>
      <c r="S2" s="1" t="s">
        <v>567</v>
      </c>
    </row>
    <row r="3" spans="1:20" ht="13.2">
      <c r="C3" s="1" t="s">
        <v>37</v>
      </c>
      <c r="D3" s="183">
        <f>'매출액 추정'!I10</f>
        <v>17084122665000</v>
      </c>
      <c r="E3" s="183">
        <f>'매출액 추정'!H10</f>
        <v>13567232795789.475</v>
      </c>
      <c r="F3" s="183">
        <f>'매출액 추정'!G10</f>
        <v>10568984689473.686</v>
      </c>
      <c r="G3" s="184">
        <v>10776004933627</v>
      </c>
      <c r="H3" s="184"/>
      <c r="I3" s="184"/>
      <c r="M3" s="43">
        <v>1</v>
      </c>
      <c r="N3" s="1" t="s">
        <v>37</v>
      </c>
      <c r="O3" s="43">
        <v>1</v>
      </c>
      <c r="P3" s="1" t="s">
        <v>37</v>
      </c>
      <c r="Q3" s="43">
        <v>1</v>
      </c>
      <c r="R3" s="1" t="s">
        <v>37</v>
      </c>
      <c r="S3" s="43">
        <v>1</v>
      </c>
      <c r="T3" s="1" t="s">
        <v>37</v>
      </c>
    </row>
    <row r="4" spans="1:20" ht="13.2">
      <c r="C4" s="1" t="s">
        <v>568</v>
      </c>
      <c r="D4" s="183">
        <f t="shared" ref="D4:E4" si="0">E4*((D12/E12)*0.7+(D13/E13)*0.3)</f>
        <v>1125295165566.1611</v>
      </c>
      <c r="E4" s="183">
        <f t="shared" si="0"/>
        <v>1185833038579.7632</v>
      </c>
      <c r="F4" s="183">
        <f>F3*D28*'매출액 추정'!L5</f>
        <v>1193447781110.5264</v>
      </c>
      <c r="G4" s="184"/>
      <c r="H4" s="184"/>
      <c r="I4" s="184"/>
      <c r="M4" s="43">
        <v>0.2</v>
      </c>
      <c r="N4" s="1" t="s">
        <v>569</v>
      </c>
      <c r="O4" s="43">
        <v>0.15</v>
      </c>
      <c r="P4" s="1" t="s">
        <v>569</v>
      </c>
      <c r="Q4" s="43">
        <v>0.10300000000000001</v>
      </c>
      <c r="R4" s="1" t="s">
        <v>569</v>
      </c>
      <c r="S4" s="43">
        <v>0.17899999999999999</v>
      </c>
      <c r="T4" s="1" t="s">
        <v>569</v>
      </c>
    </row>
    <row r="5" spans="1:20" ht="13.2">
      <c r="C5" s="1" t="s">
        <v>570</v>
      </c>
      <c r="D5" s="183">
        <f t="shared" ref="D5:E5" si="1">E5*1.04</f>
        <v>789317382458.30762</v>
      </c>
      <c r="E5" s="183">
        <f t="shared" si="1"/>
        <v>758959021594.52649</v>
      </c>
      <c r="F5" s="183">
        <f>F3*D29*'매출액 추정'!L5</f>
        <v>729768289994.73694</v>
      </c>
      <c r="G5" s="184"/>
      <c r="H5" s="184"/>
      <c r="I5" s="184"/>
      <c r="L5" s="1" t="s">
        <v>571</v>
      </c>
      <c r="M5" s="43">
        <v>9.5000000000000001E-2</v>
      </c>
      <c r="N5" s="1" t="s">
        <v>572</v>
      </c>
      <c r="O5" s="43">
        <v>0.12</v>
      </c>
      <c r="P5" s="1" t="s">
        <v>572</v>
      </c>
      <c r="Q5" s="43">
        <v>6.2E-2</v>
      </c>
      <c r="R5" s="1" t="s">
        <v>572</v>
      </c>
      <c r="S5" s="43">
        <v>9.1999999999999998E-2</v>
      </c>
      <c r="T5" s="1" t="s">
        <v>572</v>
      </c>
    </row>
    <row r="6" spans="1:20" ht="13.2">
      <c r="C6" s="1" t="s">
        <v>573</v>
      </c>
      <c r="D6" s="183">
        <f t="shared" ref="D6:E6" si="2">E6*1.02</f>
        <v>2960256329326.2324</v>
      </c>
      <c r="E6" s="183">
        <f t="shared" si="2"/>
        <v>2902212087574.7378</v>
      </c>
      <c r="F6" s="183">
        <f>F3*'매출액 추정'!L5*SUM(S6:S11)</f>
        <v>2845305968210.5273</v>
      </c>
      <c r="G6" s="184"/>
      <c r="H6" s="184"/>
      <c r="I6" s="184"/>
      <c r="M6" s="43">
        <v>0.16400000000000001</v>
      </c>
      <c r="N6" s="1" t="s">
        <v>574</v>
      </c>
      <c r="O6" s="43">
        <v>0.19500000000000001</v>
      </c>
      <c r="P6" s="1" t="s">
        <v>574</v>
      </c>
      <c r="Q6" s="43">
        <v>0.24299999999999999</v>
      </c>
      <c r="R6" s="1" t="s">
        <v>574</v>
      </c>
      <c r="S6" s="43">
        <v>0.185</v>
      </c>
      <c r="T6" s="1" t="s">
        <v>574</v>
      </c>
    </row>
    <row r="7" spans="1:20" ht="13.2">
      <c r="C7" s="1" t="s">
        <v>575</v>
      </c>
      <c r="D7" s="183">
        <f t="shared" ref="D7:E7" si="3">E7*1.02</f>
        <v>1601016775158.605</v>
      </c>
      <c r="E7" s="183">
        <f t="shared" si="3"/>
        <v>1569624289371.1814</v>
      </c>
      <c r="F7" s="183">
        <f>F3*(K33*'매출액 추정'!L6+K34*'매출액 추정'!L7+K35*'매출액 추정'!L8)</f>
        <v>1538847342520.7661</v>
      </c>
      <c r="G7" s="185"/>
      <c r="H7" s="184"/>
      <c r="I7" s="184"/>
      <c r="M7" s="43">
        <v>3.7999999999999999E-2</v>
      </c>
      <c r="N7" s="1" t="s">
        <v>576</v>
      </c>
      <c r="O7" s="43">
        <v>1.9E-2</v>
      </c>
      <c r="P7" s="1" t="s">
        <v>576</v>
      </c>
      <c r="Q7" s="43">
        <v>5.4000000000000006E-2</v>
      </c>
      <c r="R7" s="1" t="s">
        <v>576</v>
      </c>
      <c r="S7" s="43">
        <v>3.4000000000000002E-2</v>
      </c>
      <c r="T7" s="1" t="s">
        <v>576</v>
      </c>
    </row>
    <row r="8" spans="1:20" ht="13.2">
      <c r="C8" s="1" t="s">
        <v>577</v>
      </c>
      <c r="D8" s="183">
        <f>포괄손익계산서!G23*(F8/포괄손익계산서!E23)</f>
        <v>4340584089154.4873</v>
      </c>
      <c r="E8" s="183">
        <f>포괄손익계산서!F23*(F8/포괄손익계산서!E23)</f>
        <v>3447043548095.4058</v>
      </c>
      <c r="F8" s="183">
        <f>G102-F7*H102</f>
        <v>2685274958580.7813</v>
      </c>
      <c r="G8" s="184"/>
      <c r="H8" s="184"/>
      <c r="I8" s="184"/>
      <c r="M8" s="43">
        <v>8.9999999999999993E-3</v>
      </c>
      <c r="N8" s="1" t="s">
        <v>578</v>
      </c>
      <c r="O8" s="43">
        <v>0.01</v>
      </c>
      <c r="P8" s="1" t="s">
        <v>578</v>
      </c>
      <c r="Q8" s="43">
        <v>6.0000000000000001E-3</v>
      </c>
      <c r="R8" s="1" t="s">
        <v>578</v>
      </c>
      <c r="S8" s="43">
        <v>9.0000000000000011E-3</v>
      </c>
      <c r="T8" s="1" t="s">
        <v>578</v>
      </c>
    </row>
    <row r="9" spans="1:20" ht="13.2">
      <c r="C9" s="1" t="s">
        <v>579</v>
      </c>
      <c r="D9" s="183">
        <f t="shared" ref="D9:E9" si="4">E9*1.02</f>
        <v>956685328262.84155</v>
      </c>
      <c r="E9" s="183">
        <f t="shared" si="4"/>
        <v>937926792414.55054</v>
      </c>
      <c r="F9" s="170">
        <f>G101-F7*H101</f>
        <v>919536070994.65735</v>
      </c>
      <c r="G9" s="183"/>
      <c r="H9" s="183"/>
      <c r="I9" s="183"/>
      <c r="M9" s="43">
        <v>7.0000000000000001E-3</v>
      </c>
      <c r="N9" s="1" t="s">
        <v>580</v>
      </c>
      <c r="O9" s="43">
        <v>2.3E-2</v>
      </c>
      <c r="P9" s="1" t="s">
        <v>580</v>
      </c>
      <c r="Q9" s="43">
        <v>1.3999999999999999E-2</v>
      </c>
      <c r="R9" s="1" t="s">
        <v>580</v>
      </c>
      <c r="S9" s="43">
        <v>1.3000000000000001E-2</v>
      </c>
      <c r="T9" s="1" t="s">
        <v>580</v>
      </c>
    </row>
    <row r="10" spans="1:20" ht="13.2">
      <c r="C10" s="1" t="s">
        <v>85</v>
      </c>
      <c r="D10" s="183">
        <f t="shared" ref="D10:F10" si="5">SUM(D4:D9)</f>
        <v>11773155069926.635</v>
      </c>
      <c r="E10" s="183">
        <f t="shared" si="5"/>
        <v>10801598777630.166</v>
      </c>
      <c r="F10" s="183">
        <f t="shared" si="5"/>
        <v>9912180411411.9961</v>
      </c>
      <c r="G10" s="184"/>
      <c r="H10" s="184"/>
      <c r="I10" s="184"/>
      <c r="M10" s="43">
        <v>4.8000000000000001E-2</v>
      </c>
      <c r="N10" s="1" t="s">
        <v>581</v>
      </c>
      <c r="O10" s="43">
        <v>3.6000000000000004E-2</v>
      </c>
      <c r="P10" s="1" t="s">
        <v>581</v>
      </c>
      <c r="Q10" s="43">
        <v>2.3E-2</v>
      </c>
      <c r="R10" s="1" t="s">
        <v>581</v>
      </c>
      <c r="S10" s="43">
        <v>3.6000000000000004E-2</v>
      </c>
      <c r="T10" s="1" t="s">
        <v>581</v>
      </c>
    </row>
    <row r="11" spans="1:20" ht="13.2">
      <c r="G11" s="184"/>
      <c r="H11" s="184"/>
      <c r="I11" s="184"/>
      <c r="M11" s="43">
        <v>6.0999999999999999E-2</v>
      </c>
      <c r="N11" s="1" t="s">
        <v>582</v>
      </c>
      <c r="O11" s="43">
        <v>8.5000000000000006E-2</v>
      </c>
      <c r="P11" s="1" t="s">
        <v>582</v>
      </c>
      <c r="Q11" s="43">
        <v>0.115</v>
      </c>
      <c r="R11" s="1" t="s">
        <v>582</v>
      </c>
      <c r="S11" s="43">
        <v>8.3000000000000004E-2</v>
      </c>
      <c r="T11" s="1" t="s">
        <v>582</v>
      </c>
    </row>
    <row r="12" spans="1:20" ht="13.2">
      <c r="C12" s="1" t="s">
        <v>583</v>
      </c>
      <c r="D12" s="1">
        <v>95.45</v>
      </c>
      <c r="E12" s="1">
        <v>101.48</v>
      </c>
      <c r="F12" s="1">
        <v>101.8</v>
      </c>
    </row>
    <row r="13" spans="1:20" ht="13.2">
      <c r="C13" s="1" t="s">
        <v>584</v>
      </c>
      <c r="D13" s="1">
        <v>891</v>
      </c>
      <c r="E13" s="1">
        <v>920</v>
      </c>
      <c r="F13" s="1">
        <v>933</v>
      </c>
      <c r="J13" s="43"/>
    </row>
    <row r="14" spans="1:20" ht="13.2">
      <c r="J14" s="43"/>
    </row>
    <row r="15" spans="1:20" ht="13.2">
      <c r="J15" s="43"/>
    </row>
    <row r="16" spans="1:20" ht="13.2">
      <c r="J16" s="41"/>
    </row>
    <row r="17" spans="3:12" ht="13.2">
      <c r="J17" s="41"/>
    </row>
    <row r="18" spans="3:12" ht="13.2">
      <c r="J18" s="43"/>
    </row>
    <row r="19" spans="3:12" ht="13.2">
      <c r="J19" s="43"/>
    </row>
    <row r="20" spans="3:12" ht="13.2">
      <c r="C20" s="1"/>
      <c r="J20" s="43"/>
    </row>
    <row r="21" spans="3:12" ht="13.2">
      <c r="C21" s="1"/>
      <c r="J21" s="43"/>
    </row>
    <row r="22" spans="3:12" ht="13.2">
      <c r="I22" s="41"/>
      <c r="J22" s="43"/>
    </row>
    <row r="23" spans="3:12" ht="13.2">
      <c r="I23" s="41"/>
      <c r="J23" s="43"/>
    </row>
    <row r="24" spans="3:12" ht="13.2">
      <c r="J24" s="43"/>
    </row>
    <row r="25" spans="3:12" ht="13.2">
      <c r="J25" s="43"/>
    </row>
    <row r="26" spans="3:12" ht="13.2">
      <c r="J26" s="43"/>
    </row>
    <row r="27" spans="3:12" ht="13.2">
      <c r="D27" s="1" t="s">
        <v>585</v>
      </c>
      <c r="E27" s="1" t="s">
        <v>586</v>
      </c>
      <c r="J27" s="43"/>
    </row>
    <row r="28" spans="3:12" ht="13.2">
      <c r="C28" s="1" t="s">
        <v>587</v>
      </c>
      <c r="D28" s="43">
        <f t="shared" ref="D28:D29" si="6">(M4+O4+Q4)/3</f>
        <v>0.151</v>
      </c>
      <c r="E28" s="1" t="s">
        <v>588</v>
      </c>
      <c r="J28" s="43"/>
    </row>
    <row r="29" spans="3:12" ht="13.2">
      <c r="C29" s="1" t="s">
        <v>589</v>
      </c>
      <c r="D29" s="43">
        <f t="shared" si="6"/>
        <v>9.2333333333333337E-2</v>
      </c>
      <c r="E29" s="1" t="s">
        <v>588</v>
      </c>
      <c r="J29" s="43"/>
    </row>
    <row r="30" spans="3:12" ht="13.2">
      <c r="J30" s="43"/>
    </row>
    <row r="31" spans="3:12" ht="13.2">
      <c r="J31" s="1" t="s">
        <v>590</v>
      </c>
      <c r="K31" s="1" t="s">
        <v>591</v>
      </c>
      <c r="L31" s="1" t="s">
        <v>592</v>
      </c>
    </row>
    <row r="32" spans="3:12" ht="13.2">
      <c r="F32" s="186"/>
      <c r="G32" s="186"/>
      <c r="I32" s="1" t="s">
        <v>593</v>
      </c>
      <c r="J32" s="43">
        <f>9175/78393</f>
        <v>0.11703851109155154</v>
      </c>
      <c r="K32" s="43">
        <f>(1-J32)+J37</f>
        <v>0.92670469374576914</v>
      </c>
      <c r="L32" s="43">
        <f>78393/98694</f>
        <v>0.79430360508237585</v>
      </c>
    </row>
    <row r="33" spans="2:12" ht="13.2">
      <c r="F33" s="186"/>
      <c r="G33" s="186"/>
      <c r="I33" s="1" t="s">
        <v>594</v>
      </c>
      <c r="J33" s="43">
        <f>883/9152</f>
        <v>9.648164335664336E-2</v>
      </c>
      <c r="K33" s="43">
        <f>(1-J33)+J37</f>
        <v>0.94726156148067731</v>
      </c>
      <c r="L33" s="43">
        <f>9152/98694</f>
        <v>9.273106774474639E-2</v>
      </c>
    </row>
    <row r="34" spans="2:12" ht="13.2">
      <c r="F34" s="186"/>
      <c r="G34" s="186"/>
      <c r="I34" s="1" t="s">
        <v>595</v>
      </c>
      <c r="J34" s="43">
        <f>-457/6224</f>
        <v>-7.3425449871465293E-2</v>
      </c>
      <c r="K34" s="43">
        <f>(1-J34)+J37</f>
        <v>1.1171686547087858</v>
      </c>
      <c r="L34" s="43">
        <f>6224/98694</f>
        <v>6.3063610756479621E-2</v>
      </c>
    </row>
    <row r="35" spans="2:12" ht="13.2">
      <c r="F35" s="186"/>
      <c r="G35" s="186"/>
      <c r="I35" s="1" t="s">
        <v>596</v>
      </c>
      <c r="J35" s="43">
        <f>-315/4926</f>
        <v>-6.3946406820950055E-2</v>
      </c>
      <c r="K35" s="43">
        <f>(1-J35)+J37</f>
        <v>1.1076896116582706</v>
      </c>
      <c r="L35" s="43">
        <f>4926/98694</f>
        <v>4.9911848744604533E-2</v>
      </c>
    </row>
    <row r="36" spans="2:12" ht="13.2">
      <c r="F36" s="186"/>
      <c r="G36" s="186"/>
      <c r="I36" s="186" t="s">
        <v>582</v>
      </c>
      <c r="J36" s="43"/>
      <c r="K36" s="43"/>
      <c r="L36" s="43"/>
    </row>
    <row r="37" spans="2:12" ht="13.2">
      <c r="F37" s="186"/>
      <c r="G37" s="186"/>
      <c r="I37" s="1" t="s">
        <v>597</v>
      </c>
      <c r="J37" s="43">
        <v>4.3743204837320589E-2</v>
      </c>
      <c r="K37" s="43"/>
      <c r="L37" s="43">
        <f>SUM(L32:L35)</f>
        <v>1.0000101323282065</v>
      </c>
    </row>
    <row r="38" spans="2:12" ht="13.2">
      <c r="J38" s="43"/>
    </row>
    <row r="39" spans="2:12" ht="13.2">
      <c r="J39" s="43"/>
    </row>
    <row r="40" spans="2:12" ht="13.2">
      <c r="J40" s="43"/>
    </row>
    <row r="41" spans="2:12" ht="13.2">
      <c r="J41" s="43"/>
    </row>
    <row r="42" spans="2:12" ht="13.2">
      <c r="J42" s="43"/>
    </row>
    <row r="43" spans="2:12" ht="13.2">
      <c r="J43" s="43"/>
    </row>
    <row r="44" spans="2:12" ht="13.2">
      <c r="J44" s="43"/>
    </row>
    <row r="45" spans="2:12" ht="13.2">
      <c r="J45" s="43"/>
    </row>
    <row r="46" spans="2:12" ht="13.2">
      <c r="J46" s="43"/>
    </row>
    <row r="47" spans="2:12" ht="13.2">
      <c r="J47" s="43"/>
    </row>
    <row r="48" spans="2:12" ht="13.2">
      <c r="B48" s="1" t="s">
        <v>598</v>
      </c>
      <c r="E48" s="1" t="s">
        <v>599</v>
      </c>
      <c r="F48" s="1" t="s">
        <v>600</v>
      </c>
      <c r="G48" s="1">
        <v>2024</v>
      </c>
      <c r="J48" s="43"/>
    </row>
    <row r="49" spans="3:10" ht="13.2">
      <c r="C49" s="1" t="s">
        <v>601</v>
      </c>
      <c r="G49" s="41">
        <f>G50+G51+G52</f>
        <v>866666</v>
      </c>
      <c r="J49" s="43"/>
    </row>
    <row r="50" spans="3:10" ht="13.2">
      <c r="D50" s="1" t="s">
        <v>602</v>
      </c>
      <c r="G50" s="41">
        <v>846770</v>
      </c>
      <c r="J50" s="43"/>
    </row>
    <row r="51" spans="3:10" ht="13.2">
      <c r="D51" s="1" t="s">
        <v>603</v>
      </c>
      <c r="G51" s="41">
        <v>3376</v>
      </c>
      <c r="J51" s="43"/>
    </row>
    <row r="52" spans="3:10" ht="13.2">
      <c r="D52" s="1" t="s">
        <v>604</v>
      </c>
      <c r="G52" s="41">
        <v>16520</v>
      </c>
      <c r="J52" s="43"/>
    </row>
    <row r="53" spans="3:10" ht="13.2">
      <c r="C53" s="1" t="s">
        <v>605</v>
      </c>
      <c r="J53" s="43"/>
    </row>
    <row r="54" spans="3:10" ht="13.2">
      <c r="D54" s="1" t="s">
        <v>606</v>
      </c>
      <c r="G54" s="41">
        <v>20656</v>
      </c>
      <c r="J54" s="43"/>
    </row>
    <row r="55" spans="3:10" ht="13.2">
      <c r="J55" s="43"/>
    </row>
    <row r="56" spans="3:10" ht="13.2">
      <c r="J56" s="43"/>
    </row>
    <row r="57" spans="3:10" ht="13.2">
      <c r="J57" s="43"/>
    </row>
    <row r="58" spans="3:10" ht="13.2">
      <c r="J58" s="43"/>
    </row>
    <row r="59" spans="3:10" ht="13.2">
      <c r="J59" s="43"/>
    </row>
    <row r="60" spans="3:10" ht="13.2">
      <c r="J60" s="43"/>
    </row>
    <row r="61" spans="3:10" ht="13.2">
      <c r="J61" s="43"/>
    </row>
    <row r="62" spans="3:10" ht="13.2">
      <c r="J62" s="43"/>
    </row>
    <row r="63" spans="3:10" ht="13.2">
      <c r="J63" s="43"/>
    </row>
    <row r="64" spans="3:10" ht="13.2">
      <c r="J64" s="43"/>
    </row>
    <row r="65" spans="10:10" ht="13.2">
      <c r="J65" s="43"/>
    </row>
    <row r="66" spans="10:10" ht="13.2">
      <c r="J66" s="43"/>
    </row>
    <row r="67" spans="10:10" ht="13.2">
      <c r="J67" s="43"/>
    </row>
    <row r="68" spans="10:10" ht="13.2">
      <c r="J68" s="43"/>
    </row>
    <row r="69" spans="10:10" ht="13.2">
      <c r="J69" s="43"/>
    </row>
    <row r="70" spans="10:10" ht="13.2">
      <c r="J70" s="43"/>
    </row>
    <row r="71" spans="10:10" ht="13.2">
      <c r="J71" s="43"/>
    </row>
    <row r="72" spans="10:10" ht="13.2">
      <c r="J72" s="43"/>
    </row>
    <row r="73" spans="10:10" ht="13.2">
      <c r="J73" s="43"/>
    </row>
    <row r="74" spans="10:10" ht="13.2">
      <c r="J74" s="43"/>
    </row>
    <row r="75" spans="10:10" ht="13.2">
      <c r="J75" s="43"/>
    </row>
    <row r="76" spans="10:10" ht="13.2">
      <c r="J76" s="43"/>
    </row>
    <row r="77" spans="10:10" ht="13.2">
      <c r="J77" s="43"/>
    </row>
    <row r="78" spans="10:10" ht="13.2">
      <c r="J78" s="43"/>
    </row>
    <row r="79" spans="10:10" ht="13.2">
      <c r="J79" s="43"/>
    </row>
    <row r="80" spans="10:10" ht="13.2">
      <c r="J80" s="43"/>
    </row>
    <row r="81" spans="10:10" ht="13.2">
      <c r="J81" s="43"/>
    </row>
    <row r="82" spans="10:10" ht="13.2">
      <c r="J82" s="43"/>
    </row>
    <row r="83" spans="10:10" ht="13.2">
      <c r="J83" s="43"/>
    </row>
    <row r="84" spans="10:10" ht="13.2">
      <c r="J84" s="43"/>
    </row>
    <row r="85" spans="10:10" ht="13.2">
      <c r="J85" s="43"/>
    </row>
    <row r="86" spans="10:10" ht="13.2">
      <c r="J86" s="43"/>
    </row>
    <row r="87" spans="10:10" ht="13.2">
      <c r="J87" s="43"/>
    </row>
    <row r="88" spans="10:10" ht="13.2">
      <c r="J88" s="43"/>
    </row>
    <row r="89" spans="10:10" ht="13.2">
      <c r="J89" s="43"/>
    </row>
    <row r="90" spans="10:10" ht="13.2">
      <c r="J90" s="43"/>
    </row>
    <row r="91" spans="10:10" ht="13.2">
      <c r="J91" s="43"/>
    </row>
    <row r="92" spans="10:10" ht="13.2">
      <c r="J92" s="43"/>
    </row>
    <row r="93" spans="10:10" ht="13.2">
      <c r="J93" s="43"/>
    </row>
    <row r="94" spans="10:10" ht="13.2">
      <c r="J94" s="43"/>
    </row>
    <row r="95" spans="10:10" ht="13.2">
      <c r="J95" s="43"/>
    </row>
    <row r="96" spans="10:10" ht="13.2">
      <c r="J96" s="43"/>
    </row>
    <row r="97" spans="1:13" ht="13.2">
      <c r="J97" s="43"/>
    </row>
    <row r="98" spans="1:13" ht="13.2">
      <c r="J98" s="43"/>
    </row>
    <row r="99" spans="1:13" ht="13.2">
      <c r="C99" s="1" t="s">
        <v>607</v>
      </c>
      <c r="D99" s="1" t="s">
        <v>608</v>
      </c>
      <c r="E99" s="1" t="s">
        <v>609</v>
      </c>
      <c r="F99" s="1" t="s">
        <v>610</v>
      </c>
      <c r="G99" s="1" t="s">
        <v>611</v>
      </c>
      <c r="H99" s="1" t="s">
        <v>612</v>
      </c>
      <c r="J99" s="43"/>
    </row>
    <row r="100" spans="1:13" ht="13.2">
      <c r="C100" s="1" t="s">
        <v>613</v>
      </c>
      <c r="D100" s="39">
        <v>6199547311555</v>
      </c>
      <c r="E100" s="39">
        <v>7309503815084</v>
      </c>
      <c r="F100" s="39">
        <v>10092078699901</v>
      </c>
      <c r="G100" s="39">
        <f>8056665432396*4/3</f>
        <v>10742220576528</v>
      </c>
      <c r="J100" s="43"/>
    </row>
    <row r="101" spans="1:13" ht="13.2">
      <c r="C101" s="1" t="s">
        <v>614</v>
      </c>
      <c r="D101" s="39">
        <f>(851036-64669)*1000000</f>
        <v>786367000000</v>
      </c>
      <c r="E101" s="39">
        <f>(948442-75814)*1000000</f>
        <v>872628000000</v>
      </c>
      <c r="F101" s="39">
        <f>(1177856-145503)*1000000</f>
        <v>1032353000000</v>
      </c>
      <c r="G101" s="39">
        <f>(992412-175721)*1000000*4/3</f>
        <v>1088921333333.3334</v>
      </c>
      <c r="H101" s="43">
        <f>SUM(D101:G101)/SUM(D100:G100)</f>
        <v>0.11007281726932588</v>
      </c>
      <c r="J101" s="43"/>
    </row>
    <row r="102" spans="1:13" ht="13.2">
      <c r="C102" s="1" t="s">
        <v>615</v>
      </c>
      <c r="D102" s="39">
        <f>1452252*1000000</f>
        <v>1452252000000</v>
      </c>
      <c r="E102" s="39">
        <f>2302751*1000000</f>
        <v>2302751000000</v>
      </c>
      <c r="F102" s="39">
        <f>2926462*1000000</f>
        <v>2926462000000</v>
      </c>
      <c r="G102" s="39">
        <f>2343499*1000000*4/3</f>
        <v>3124665333333.3335</v>
      </c>
      <c r="H102" s="43">
        <f>SUM(D102:G102)/SUM(D100:G100)</f>
        <v>0.28553213994105014</v>
      </c>
      <c r="J102" s="43"/>
    </row>
    <row r="103" spans="1:13" ht="13.2">
      <c r="C103" s="1" t="s">
        <v>616</v>
      </c>
      <c r="D103" s="39">
        <f t="shared" ref="D103:G103" si="7">D101+D102</f>
        <v>2238619000000</v>
      </c>
      <c r="E103" s="39">
        <f t="shared" si="7"/>
        <v>3175379000000</v>
      </c>
      <c r="F103" s="39">
        <f t="shared" si="7"/>
        <v>3958815000000</v>
      </c>
      <c r="G103" s="39">
        <f t="shared" si="7"/>
        <v>4213586666666.667</v>
      </c>
      <c r="H103" s="43"/>
      <c r="J103" s="43"/>
    </row>
    <row r="104" spans="1:13" ht="13.2">
      <c r="C104" s="1" t="s">
        <v>617</v>
      </c>
      <c r="D104" s="43">
        <f t="shared" ref="D104:G104" si="8">D103/D100</f>
        <v>0.36109394565431568</v>
      </c>
      <c r="E104" s="43">
        <f t="shared" si="8"/>
        <v>0.43441785931450516</v>
      </c>
      <c r="F104" s="43">
        <f t="shared" si="8"/>
        <v>0.39226953313779001</v>
      </c>
      <c r="G104" s="43">
        <f t="shared" si="8"/>
        <v>0.39224540556106724</v>
      </c>
      <c r="H104" s="43">
        <f>(D104+E104+F104+G104)/4</f>
        <v>0.39500668591691956</v>
      </c>
      <c r="J104" s="43"/>
    </row>
    <row r="105" spans="1:13" ht="13.2">
      <c r="J105" s="43"/>
    </row>
    <row r="106" spans="1:13" ht="13.2">
      <c r="J106" s="43"/>
    </row>
    <row r="107" spans="1:13" ht="22.5" customHeight="1">
      <c r="A107" s="1" t="s">
        <v>618</v>
      </c>
      <c r="C107" s="26" t="s">
        <v>607</v>
      </c>
      <c r="D107" s="26" t="s">
        <v>619</v>
      </c>
      <c r="E107" s="26" t="s">
        <v>620</v>
      </c>
      <c r="F107" s="26" t="s">
        <v>621</v>
      </c>
      <c r="G107" s="187" t="s">
        <v>34</v>
      </c>
      <c r="H107" s="26" t="s">
        <v>4</v>
      </c>
      <c r="I107" s="26" t="s">
        <v>5</v>
      </c>
      <c r="J107" s="26" t="s">
        <v>6</v>
      </c>
      <c r="K107" s="43"/>
      <c r="M107" s="41"/>
    </row>
    <row r="108" spans="1:13" ht="22.5" customHeight="1">
      <c r="C108" s="36" t="s">
        <v>622</v>
      </c>
      <c r="D108" s="36" t="s">
        <v>623</v>
      </c>
      <c r="E108" s="36" t="s">
        <v>624</v>
      </c>
      <c r="F108" s="36" t="s">
        <v>625</v>
      </c>
      <c r="G108" s="28">
        <v>166913000000</v>
      </c>
      <c r="H108" s="28">
        <v>248744000000</v>
      </c>
      <c r="I108" s="28">
        <f t="shared" ref="I108:J108" si="9">H108*1.02</f>
        <v>253718880000</v>
      </c>
      <c r="J108" s="28">
        <f t="shared" si="9"/>
        <v>258793257600</v>
      </c>
      <c r="K108" s="43"/>
      <c r="M108" s="41"/>
    </row>
    <row r="109" spans="1:13" ht="22.5" customHeight="1">
      <c r="C109" s="36" t="s">
        <v>626</v>
      </c>
      <c r="D109" s="36" t="s">
        <v>623</v>
      </c>
      <c r="E109" s="36" t="s">
        <v>624</v>
      </c>
      <c r="F109" s="36" t="s">
        <v>627</v>
      </c>
      <c r="G109" s="28">
        <v>23451000000</v>
      </c>
      <c r="H109" s="28">
        <v>44753333333.333336</v>
      </c>
      <c r="I109" s="28">
        <f t="shared" ref="I109:J109" si="10">H109*1.02</f>
        <v>45648400000</v>
      </c>
      <c r="J109" s="28">
        <f t="shared" si="10"/>
        <v>46561368000</v>
      </c>
      <c r="K109" s="43"/>
      <c r="M109" s="41"/>
    </row>
    <row r="110" spans="1:13" ht="22.5" customHeight="1">
      <c r="C110" s="36" t="s">
        <v>628</v>
      </c>
      <c r="D110" s="36" t="s">
        <v>623</v>
      </c>
      <c r="E110" s="36" t="s">
        <v>629</v>
      </c>
      <c r="F110" s="36" t="s">
        <v>630</v>
      </c>
      <c r="G110" s="28">
        <v>14942000000</v>
      </c>
      <c r="H110" s="28">
        <v>43048000000</v>
      </c>
      <c r="I110" s="28">
        <f>H110+J121</f>
        <v>43416393939.393936</v>
      </c>
      <c r="J110" s="28">
        <v>43416393939.393936</v>
      </c>
      <c r="K110" s="43"/>
      <c r="M110" s="41"/>
    </row>
    <row r="111" spans="1:13" ht="22.5" customHeight="1">
      <c r="C111" s="36" t="s">
        <v>631</v>
      </c>
      <c r="D111" s="36" t="s">
        <v>632</v>
      </c>
      <c r="E111" s="36" t="s">
        <v>633</v>
      </c>
      <c r="F111" s="36" t="s">
        <v>634</v>
      </c>
      <c r="G111" s="28">
        <v>-1558000000</v>
      </c>
      <c r="H111" s="28">
        <v>-488000000</v>
      </c>
      <c r="I111" s="28">
        <f>포괄손익계산서!F23*((G111+H111)/(포괄손익계산서!D23+포괄손익계산서!E23))</f>
        <v>-1300471857.3460195</v>
      </c>
      <c r="J111" s="28">
        <f>포괄손익계산서!G23*((G111+H111)/(포괄손익계산서!D23+포괄손익계산서!E23))</f>
        <v>-1637579384.6608756</v>
      </c>
      <c r="K111" s="43"/>
      <c r="M111" s="41"/>
    </row>
    <row r="112" spans="1:13" ht="22.5" customHeight="1">
      <c r="C112" s="36" t="s">
        <v>635</v>
      </c>
      <c r="D112" s="36" t="s">
        <v>636</v>
      </c>
      <c r="E112" s="36" t="s">
        <v>637</v>
      </c>
      <c r="F112" s="36" t="s">
        <v>638</v>
      </c>
      <c r="G112" s="28">
        <v>95689000000</v>
      </c>
      <c r="H112" s="28">
        <v>111721333333.33333</v>
      </c>
      <c r="I112" s="28">
        <f>H112*(포괄손익계산서!F23/포괄손익계산서!E23)</f>
        <v>143414848457.38849</v>
      </c>
      <c r="J112" s="28">
        <f>I112*(포괄손익계산서!G23/포괄손익계산서!F23)</f>
        <v>180590758624.61746</v>
      </c>
      <c r="K112" s="43"/>
      <c r="M112" s="41"/>
    </row>
    <row r="113" spans="1:13" ht="22.5" customHeight="1">
      <c r="C113" s="36" t="s">
        <v>639</v>
      </c>
      <c r="D113" s="36" t="s">
        <v>636</v>
      </c>
      <c r="E113" s="36" t="s">
        <v>637</v>
      </c>
      <c r="F113" s="36" t="s">
        <v>640</v>
      </c>
      <c r="G113" s="28">
        <v>63194000000</v>
      </c>
      <c r="H113" s="28">
        <v>49268000000</v>
      </c>
      <c r="I113" s="28">
        <f>H113*(포괄손익계산서!F23/포괄손익계산서!E23)</f>
        <v>63244525848.229073</v>
      </c>
      <c r="J113" s="28">
        <f>I113*(포괄손익계산서!G23/포괄손익계산서!F23)</f>
        <v>79638733538.664536</v>
      </c>
      <c r="K113" s="43"/>
      <c r="M113" s="41"/>
    </row>
    <row r="114" spans="1:13" ht="22.5" customHeight="1">
      <c r="C114" s="36" t="s">
        <v>641</v>
      </c>
      <c r="D114" s="36" t="s">
        <v>636</v>
      </c>
      <c r="E114" s="36" t="s">
        <v>637</v>
      </c>
      <c r="F114" s="36" t="s">
        <v>642</v>
      </c>
      <c r="G114" s="28">
        <v>32918000000</v>
      </c>
      <c r="H114" s="28">
        <v>53558666666.666664</v>
      </c>
      <c r="I114" s="28">
        <f>H114*(포괄손익계산서!F23/포괄손익계산서!E23)</f>
        <v>68752384476.672165</v>
      </c>
      <c r="J114" s="28">
        <f>I114*(포괄손익계산서!G23/포괄손익계산서!F23)</f>
        <v>86574335945.295532</v>
      </c>
      <c r="K114" s="43"/>
      <c r="M114" s="41"/>
    </row>
    <row r="115" spans="1:13" ht="22.5" customHeight="1">
      <c r="C115" s="36" t="s">
        <v>643</v>
      </c>
      <c r="D115" s="36" t="s">
        <v>636</v>
      </c>
      <c r="E115" s="36" t="s">
        <v>637</v>
      </c>
      <c r="F115" s="36" t="s">
        <v>644</v>
      </c>
      <c r="G115" s="28">
        <v>50501000000</v>
      </c>
      <c r="H115" s="28">
        <v>94493333333.333344</v>
      </c>
      <c r="I115" s="28">
        <f>H115*(포괄손익계산서!F23/포괄손익계산서!E23)</f>
        <v>121299546612.10779</v>
      </c>
      <c r="J115" s="28">
        <f>I115*(포괄손익계산서!G23/포괄손익계산서!F23)</f>
        <v>152742741627.70038</v>
      </c>
      <c r="M115" s="41"/>
    </row>
    <row r="116" spans="1:13" ht="22.5" customHeight="1">
      <c r="C116" s="36" t="s">
        <v>645</v>
      </c>
      <c r="D116" s="36"/>
      <c r="E116" s="36"/>
      <c r="F116" s="36"/>
      <c r="G116" s="28" t="s">
        <v>646</v>
      </c>
      <c r="H116" s="28">
        <f>SUM(표1[2025(추정)])</f>
        <v>645098666666.66663</v>
      </c>
      <c r="I116" s="28">
        <f>SUM(표1[2026(추정)])</f>
        <v>738194507476.44543</v>
      </c>
      <c r="J116" s="28">
        <f>SUM(표1[2027(추정)])</f>
        <v>846680009891.01099</v>
      </c>
      <c r="M116" s="41"/>
    </row>
    <row r="117" spans="1:13" ht="13.2">
      <c r="J117" s="43"/>
      <c r="M117" s="41"/>
    </row>
    <row r="118" spans="1:13" ht="13.2">
      <c r="J118" s="43"/>
    </row>
    <row r="119" spans="1:13" ht="13.2">
      <c r="J119" s="43"/>
    </row>
    <row r="120" spans="1:13" ht="13.2">
      <c r="A120" s="1" t="s">
        <v>647</v>
      </c>
      <c r="C120" s="1" t="s">
        <v>648</v>
      </c>
      <c r="D120" s="1" t="s">
        <v>649</v>
      </c>
      <c r="E120" s="1" t="s">
        <v>650</v>
      </c>
      <c r="F120" s="1" t="s">
        <v>651</v>
      </c>
      <c r="G120" s="1" t="s">
        <v>652</v>
      </c>
      <c r="I120" s="1" t="s">
        <v>653</v>
      </c>
      <c r="J120" s="1" t="s">
        <v>654</v>
      </c>
    </row>
    <row r="121" spans="1:13" ht="13.2">
      <c r="B121" s="1" t="s">
        <v>655</v>
      </c>
      <c r="C121" s="39"/>
      <c r="D121" s="39"/>
      <c r="F121" s="39"/>
      <c r="G121" s="39"/>
      <c r="I121" s="1">
        <v>12157000000</v>
      </c>
      <c r="J121" s="43">
        <f>I121/33</f>
        <v>368393939.39393938</v>
      </c>
    </row>
    <row r="122" spans="1:13" ht="13.2">
      <c r="B122" s="1" t="s">
        <v>656</v>
      </c>
      <c r="C122" s="39">
        <v>4448969000000</v>
      </c>
      <c r="D122" s="39">
        <v>133635000000</v>
      </c>
      <c r="E122" s="188">
        <f t="shared" ref="E122:E124" si="11">C122/D122</f>
        <v>33.2919444756239</v>
      </c>
      <c r="F122" s="39">
        <v>2155000000</v>
      </c>
      <c r="G122" s="39">
        <v>6460000000</v>
      </c>
      <c r="J122" s="43"/>
    </row>
    <row r="123" spans="1:13" ht="13.2">
      <c r="B123" s="1" t="s">
        <v>657</v>
      </c>
      <c r="C123" s="39">
        <v>47754000000</v>
      </c>
      <c r="D123" s="39">
        <v>6345000000</v>
      </c>
      <c r="E123" s="188">
        <f t="shared" si="11"/>
        <v>7.526241134751773</v>
      </c>
      <c r="F123" s="39">
        <v>6345000000</v>
      </c>
      <c r="G123" s="39"/>
      <c r="J123" s="43"/>
    </row>
    <row r="124" spans="1:13" ht="13.2">
      <c r="B124" s="1" t="s">
        <v>658</v>
      </c>
      <c r="C124" s="39">
        <v>99980000000</v>
      </c>
      <c r="D124" s="39">
        <v>39658000000</v>
      </c>
      <c r="E124" s="188">
        <f t="shared" si="11"/>
        <v>2.5210550204246305</v>
      </c>
      <c r="F124" s="39">
        <f>(F125-F122-F123)</f>
        <v>6442000000</v>
      </c>
      <c r="G124" s="39"/>
      <c r="J124" s="43"/>
    </row>
    <row r="125" spans="1:13" ht="13.2">
      <c r="B125" s="1" t="s">
        <v>645</v>
      </c>
      <c r="F125" s="39">
        <v>14942000000</v>
      </c>
      <c r="J125" s="43"/>
    </row>
    <row r="126" spans="1:13" ht="13.2">
      <c r="J126" s="43"/>
    </row>
    <row r="127" spans="1:13" ht="13.2">
      <c r="J127" s="43"/>
    </row>
    <row r="128" spans="1:13" ht="13.2">
      <c r="J128" s="43"/>
    </row>
    <row r="129" spans="10:10" ht="13.2">
      <c r="J129" s="43"/>
    </row>
    <row r="130" spans="10:10" ht="13.2">
      <c r="J130" s="43"/>
    </row>
    <row r="131" spans="10:10" ht="13.2">
      <c r="J131" s="43"/>
    </row>
    <row r="132" spans="10:10" ht="13.2">
      <c r="J132" s="43"/>
    </row>
    <row r="133" spans="10:10" ht="13.2">
      <c r="J133" s="43"/>
    </row>
    <row r="134" spans="10:10" ht="13.2">
      <c r="J134" s="43"/>
    </row>
    <row r="135" spans="10:10" ht="13.2">
      <c r="J135" s="43"/>
    </row>
    <row r="136" spans="10:10" ht="13.2">
      <c r="J136" s="43"/>
    </row>
    <row r="137" spans="10:10" ht="13.2">
      <c r="J137" s="43"/>
    </row>
    <row r="138" spans="10:10" ht="13.2">
      <c r="J138" s="43"/>
    </row>
    <row r="139" spans="10:10" ht="13.2">
      <c r="J139" s="43"/>
    </row>
    <row r="140" spans="10:10" ht="13.2">
      <c r="J140" s="43"/>
    </row>
    <row r="141" spans="10:10" ht="13.2">
      <c r="J141" s="43"/>
    </row>
    <row r="142" spans="10:10" ht="13.2">
      <c r="J142" s="43"/>
    </row>
    <row r="143" spans="10:10" ht="13.2">
      <c r="J143" s="43"/>
    </row>
    <row r="144" spans="10:10" ht="13.2">
      <c r="J144" s="43"/>
    </row>
    <row r="145" spans="10:10" ht="13.2">
      <c r="J145" s="43"/>
    </row>
    <row r="146" spans="10:10" ht="13.2">
      <c r="J146" s="43"/>
    </row>
    <row r="147" spans="10:10" ht="13.2">
      <c r="J147" s="43"/>
    </row>
    <row r="148" spans="10:10" ht="13.2">
      <c r="J148" s="43"/>
    </row>
    <row r="149" spans="10:10" ht="13.2">
      <c r="J149" s="43"/>
    </row>
    <row r="150" spans="10:10" ht="13.2">
      <c r="J150" s="43"/>
    </row>
    <row r="151" spans="10:10" ht="13.2">
      <c r="J151" s="43"/>
    </row>
    <row r="152" spans="10:10" ht="13.2">
      <c r="J152" s="43"/>
    </row>
    <row r="153" spans="10:10" ht="13.2">
      <c r="J153" s="43"/>
    </row>
    <row r="154" spans="10:10" ht="13.2">
      <c r="J154" s="43"/>
    </row>
    <row r="155" spans="10:10" ht="13.2">
      <c r="J155" s="43"/>
    </row>
    <row r="156" spans="10:10" ht="13.2">
      <c r="J156" s="43"/>
    </row>
    <row r="157" spans="10:10" ht="13.2">
      <c r="J157" s="43"/>
    </row>
    <row r="158" spans="10:10" ht="13.2">
      <c r="J158" s="43"/>
    </row>
    <row r="159" spans="10:10" ht="13.2">
      <c r="J159" s="43"/>
    </row>
    <row r="160" spans="10:10" ht="13.2">
      <c r="J160" s="43"/>
    </row>
    <row r="161" spans="10:10" ht="13.2">
      <c r="J161" s="43"/>
    </row>
    <row r="162" spans="10:10" ht="13.2">
      <c r="J162" s="43"/>
    </row>
    <row r="163" spans="10:10" ht="13.2">
      <c r="J163" s="43"/>
    </row>
    <row r="164" spans="10:10" ht="13.2">
      <c r="J164" s="43"/>
    </row>
    <row r="165" spans="10:10" ht="13.2">
      <c r="J165" s="43"/>
    </row>
    <row r="166" spans="10:10" ht="13.2">
      <c r="J166" s="43"/>
    </row>
    <row r="167" spans="10:10" ht="13.2">
      <c r="J167" s="43"/>
    </row>
    <row r="168" spans="10:10" ht="13.2">
      <c r="J168" s="43"/>
    </row>
    <row r="169" spans="10:10" ht="13.2">
      <c r="J169" s="43"/>
    </row>
    <row r="170" spans="10:10" ht="13.2">
      <c r="J170" s="43"/>
    </row>
    <row r="171" spans="10:10" ht="13.2">
      <c r="J171" s="43"/>
    </row>
    <row r="172" spans="10:10" ht="13.2">
      <c r="J172" s="43"/>
    </row>
    <row r="173" spans="10:10" ht="13.2">
      <c r="J173" s="43"/>
    </row>
    <row r="174" spans="10:10" ht="13.2">
      <c r="J174" s="43"/>
    </row>
    <row r="175" spans="10:10" ht="13.2">
      <c r="J175" s="43"/>
    </row>
    <row r="176" spans="10:10" ht="13.2">
      <c r="J176" s="43"/>
    </row>
    <row r="177" spans="10:10" ht="13.2">
      <c r="J177" s="43"/>
    </row>
    <row r="178" spans="10:10" ht="13.2">
      <c r="J178" s="43"/>
    </row>
    <row r="179" spans="10:10" ht="13.2">
      <c r="J179" s="43"/>
    </row>
    <row r="180" spans="10:10" ht="13.2">
      <c r="J180" s="43"/>
    </row>
    <row r="181" spans="10:10" ht="13.2">
      <c r="J181" s="43"/>
    </row>
    <row r="182" spans="10:10" ht="13.2">
      <c r="J182" s="43"/>
    </row>
    <row r="183" spans="10:10" ht="13.2">
      <c r="J183" s="43"/>
    </row>
    <row r="184" spans="10:10" ht="13.2">
      <c r="J184" s="43"/>
    </row>
    <row r="185" spans="10:10" ht="13.2">
      <c r="J185" s="43"/>
    </row>
    <row r="186" spans="10:10" ht="13.2">
      <c r="J186" s="43"/>
    </row>
    <row r="187" spans="10:10" ht="13.2">
      <c r="J187" s="43"/>
    </row>
    <row r="188" spans="10:10" ht="13.2">
      <c r="J188" s="43"/>
    </row>
    <row r="189" spans="10:10" ht="13.2">
      <c r="J189" s="43"/>
    </row>
    <row r="190" spans="10:10" ht="13.2">
      <c r="J190" s="43"/>
    </row>
    <row r="191" spans="10:10" ht="13.2">
      <c r="J191" s="43"/>
    </row>
    <row r="192" spans="10:10" ht="13.2">
      <c r="J192" s="43"/>
    </row>
    <row r="193" spans="10:10" ht="13.2">
      <c r="J193" s="43"/>
    </row>
    <row r="194" spans="10:10" ht="13.2">
      <c r="J194" s="43"/>
    </row>
    <row r="195" spans="10:10" ht="13.2">
      <c r="J195" s="43"/>
    </row>
    <row r="196" spans="10:10" ht="13.2">
      <c r="J196" s="43"/>
    </row>
    <row r="197" spans="10:10" ht="13.2">
      <c r="J197" s="43"/>
    </row>
    <row r="198" spans="10:10" ht="13.2">
      <c r="J198" s="43"/>
    </row>
    <row r="199" spans="10:10" ht="13.2">
      <c r="J199" s="43"/>
    </row>
    <row r="200" spans="10:10" ht="13.2">
      <c r="J200" s="43"/>
    </row>
    <row r="201" spans="10:10" ht="13.2">
      <c r="J201" s="43"/>
    </row>
    <row r="202" spans="10:10" ht="13.2">
      <c r="J202" s="43"/>
    </row>
    <row r="203" spans="10:10" ht="13.2">
      <c r="J203" s="43"/>
    </row>
    <row r="204" spans="10:10" ht="13.2">
      <c r="J204" s="43"/>
    </row>
    <row r="205" spans="10:10" ht="13.2">
      <c r="J205" s="43"/>
    </row>
    <row r="206" spans="10:10" ht="13.2">
      <c r="J206" s="43"/>
    </row>
    <row r="207" spans="10:10" ht="13.2">
      <c r="J207" s="43"/>
    </row>
    <row r="208" spans="10:10" ht="13.2">
      <c r="J208" s="43"/>
    </row>
    <row r="209" spans="10:10" ht="13.2">
      <c r="J209" s="43"/>
    </row>
    <row r="210" spans="10:10" ht="13.2">
      <c r="J210" s="43"/>
    </row>
    <row r="211" spans="10:10" ht="13.2">
      <c r="J211" s="43"/>
    </row>
    <row r="212" spans="10:10" ht="13.2">
      <c r="J212" s="43"/>
    </row>
    <row r="213" spans="10:10" ht="13.2">
      <c r="J213" s="43"/>
    </row>
    <row r="214" spans="10:10" ht="13.2">
      <c r="J214" s="43"/>
    </row>
    <row r="215" spans="10:10" ht="13.2">
      <c r="J215" s="43"/>
    </row>
    <row r="216" spans="10:10" ht="13.2">
      <c r="J216" s="43"/>
    </row>
    <row r="217" spans="10:10" ht="13.2">
      <c r="J217" s="43"/>
    </row>
    <row r="218" spans="10:10" ht="13.2">
      <c r="J218" s="43"/>
    </row>
    <row r="219" spans="10:10" ht="13.2">
      <c r="J219" s="43"/>
    </row>
    <row r="220" spans="10:10" ht="13.2">
      <c r="J220" s="43"/>
    </row>
    <row r="221" spans="10:10" ht="13.2">
      <c r="J221" s="43"/>
    </row>
    <row r="222" spans="10:10" ht="13.2">
      <c r="J222" s="43"/>
    </row>
    <row r="223" spans="10:10" ht="13.2">
      <c r="J223" s="43"/>
    </row>
    <row r="224" spans="10:10" ht="13.2">
      <c r="J224" s="43"/>
    </row>
    <row r="225" spans="10:10" ht="13.2">
      <c r="J225" s="43"/>
    </row>
    <row r="226" spans="10:10" ht="13.2">
      <c r="J226" s="43"/>
    </row>
    <row r="227" spans="10:10" ht="13.2">
      <c r="J227" s="43"/>
    </row>
    <row r="228" spans="10:10" ht="13.2">
      <c r="J228" s="43"/>
    </row>
    <row r="229" spans="10:10" ht="13.2">
      <c r="J229" s="43"/>
    </row>
    <row r="230" spans="10:10" ht="13.2">
      <c r="J230" s="43"/>
    </row>
    <row r="231" spans="10:10" ht="13.2">
      <c r="J231" s="43"/>
    </row>
    <row r="232" spans="10:10" ht="13.2">
      <c r="J232" s="43"/>
    </row>
    <row r="233" spans="10:10" ht="13.2">
      <c r="J233" s="43"/>
    </row>
    <row r="234" spans="10:10" ht="13.2">
      <c r="J234" s="43"/>
    </row>
    <row r="235" spans="10:10" ht="13.2">
      <c r="J235" s="43"/>
    </row>
    <row r="236" spans="10:10" ht="13.2">
      <c r="J236" s="43"/>
    </row>
    <row r="237" spans="10:10" ht="13.2">
      <c r="J237" s="43"/>
    </row>
    <row r="238" spans="10:10" ht="13.2">
      <c r="J238" s="43"/>
    </row>
    <row r="239" spans="10:10" ht="13.2">
      <c r="J239" s="43"/>
    </row>
    <row r="240" spans="10:10" ht="13.2">
      <c r="J240" s="43"/>
    </row>
    <row r="241" spans="10:10" ht="13.2">
      <c r="J241" s="43"/>
    </row>
    <row r="242" spans="10:10" ht="13.2">
      <c r="J242" s="43"/>
    </row>
    <row r="243" spans="10:10" ht="13.2">
      <c r="J243" s="43"/>
    </row>
    <row r="244" spans="10:10" ht="13.2">
      <c r="J244" s="43"/>
    </row>
    <row r="245" spans="10:10" ht="13.2">
      <c r="J245" s="43"/>
    </row>
    <row r="246" spans="10:10" ht="13.2">
      <c r="J246" s="43"/>
    </row>
    <row r="247" spans="10:10" ht="13.2">
      <c r="J247" s="43"/>
    </row>
    <row r="248" spans="10:10" ht="13.2">
      <c r="J248" s="43"/>
    </row>
    <row r="249" spans="10:10" ht="13.2">
      <c r="J249" s="43"/>
    </row>
    <row r="250" spans="10:10" ht="13.2">
      <c r="J250" s="43"/>
    </row>
    <row r="251" spans="10:10" ht="13.2">
      <c r="J251" s="43"/>
    </row>
    <row r="252" spans="10:10" ht="13.2">
      <c r="J252" s="43"/>
    </row>
    <row r="253" spans="10:10" ht="13.2">
      <c r="J253" s="43"/>
    </row>
    <row r="254" spans="10:10" ht="13.2">
      <c r="J254" s="43"/>
    </row>
    <row r="255" spans="10:10" ht="13.2">
      <c r="J255" s="43"/>
    </row>
    <row r="256" spans="10:10" ht="13.2">
      <c r="J256" s="43"/>
    </row>
    <row r="257" spans="10:10" ht="13.2">
      <c r="J257" s="43"/>
    </row>
    <row r="258" spans="10:10" ht="13.2">
      <c r="J258" s="43"/>
    </row>
    <row r="259" spans="10:10" ht="13.2">
      <c r="J259" s="43"/>
    </row>
    <row r="260" spans="10:10" ht="13.2">
      <c r="J260" s="43"/>
    </row>
    <row r="261" spans="10:10" ht="13.2">
      <c r="J261" s="43"/>
    </row>
    <row r="262" spans="10:10" ht="13.2">
      <c r="J262" s="43"/>
    </row>
    <row r="263" spans="10:10" ht="13.2">
      <c r="J263" s="43"/>
    </row>
    <row r="264" spans="10:10" ht="13.2">
      <c r="J264" s="43"/>
    </row>
    <row r="265" spans="10:10" ht="13.2">
      <c r="J265" s="43"/>
    </row>
    <row r="266" spans="10:10" ht="13.2">
      <c r="J266" s="43"/>
    </row>
    <row r="267" spans="10:10" ht="13.2">
      <c r="J267" s="43"/>
    </row>
    <row r="268" spans="10:10" ht="13.2">
      <c r="J268" s="43"/>
    </row>
    <row r="269" spans="10:10" ht="13.2">
      <c r="J269" s="43"/>
    </row>
    <row r="270" spans="10:10" ht="13.2">
      <c r="J270" s="43"/>
    </row>
    <row r="271" spans="10:10" ht="13.2">
      <c r="J271" s="43"/>
    </row>
    <row r="272" spans="10:10" ht="13.2">
      <c r="J272" s="43"/>
    </row>
    <row r="273" spans="10:10" ht="13.2">
      <c r="J273" s="43"/>
    </row>
    <row r="274" spans="10:10" ht="13.2">
      <c r="J274" s="43"/>
    </row>
    <row r="275" spans="10:10" ht="13.2">
      <c r="J275" s="43"/>
    </row>
    <row r="276" spans="10:10" ht="13.2">
      <c r="J276" s="43"/>
    </row>
    <row r="277" spans="10:10" ht="13.2">
      <c r="J277" s="43"/>
    </row>
    <row r="278" spans="10:10" ht="13.2">
      <c r="J278" s="43"/>
    </row>
    <row r="279" spans="10:10" ht="13.2">
      <c r="J279" s="43"/>
    </row>
    <row r="280" spans="10:10" ht="13.2">
      <c r="J280" s="43"/>
    </row>
    <row r="281" spans="10:10" ht="13.2">
      <c r="J281" s="43"/>
    </row>
    <row r="282" spans="10:10" ht="13.2">
      <c r="J282" s="43"/>
    </row>
    <row r="283" spans="10:10" ht="13.2">
      <c r="J283" s="43"/>
    </row>
    <row r="284" spans="10:10" ht="13.2">
      <c r="J284" s="43"/>
    </row>
    <row r="285" spans="10:10" ht="13.2">
      <c r="J285" s="43"/>
    </row>
    <row r="286" spans="10:10" ht="13.2">
      <c r="J286" s="43"/>
    </row>
    <row r="287" spans="10:10" ht="13.2">
      <c r="J287" s="43"/>
    </row>
    <row r="288" spans="10:10" ht="13.2">
      <c r="J288" s="43"/>
    </row>
    <row r="289" spans="10:10" ht="13.2">
      <c r="J289" s="43"/>
    </row>
    <row r="290" spans="10:10" ht="13.2">
      <c r="J290" s="43"/>
    </row>
    <row r="291" spans="10:10" ht="13.2">
      <c r="J291" s="43"/>
    </row>
    <row r="292" spans="10:10" ht="13.2">
      <c r="J292" s="43"/>
    </row>
    <row r="293" spans="10:10" ht="13.2">
      <c r="J293" s="43"/>
    </row>
    <row r="294" spans="10:10" ht="13.2">
      <c r="J294" s="43"/>
    </row>
    <row r="295" spans="10:10" ht="13.2">
      <c r="J295" s="43"/>
    </row>
    <row r="296" spans="10:10" ht="13.2">
      <c r="J296" s="43"/>
    </row>
    <row r="297" spans="10:10" ht="13.2">
      <c r="J297" s="43"/>
    </row>
    <row r="298" spans="10:10" ht="13.2">
      <c r="J298" s="43"/>
    </row>
    <row r="299" spans="10:10" ht="13.2">
      <c r="J299" s="43"/>
    </row>
    <row r="300" spans="10:10" ht="13.2">
      <c r="J300" s="43"/>
    </row>
    <row r="301" spans="10:10" ht="13.2">
      <c r="J301" s="43"/>
    </row>
    <row r="302" spans="10:10" ht="13.2">
      <c r="J302" s="43"/>
    </row>
    <row r="303" spans="10:10" ht="13.2">
      <c r="J303" s="43"/>
    </row>
    <row r="304" spans="10:10" ht="13.2">
      <c r="J304" s="43"/>
    </row>
    <row r="305" spans="10:10" ht="13.2">
      <c r="J305" s="43"/>
    </row>
    <row r="306" spans="10:10" ht="13.2">
      <c r="J306" s="43"/>
    </row>
    <row r="307" spans="10:10" ht="13.2">
      <c r="J307" s="43"/>
    </row>
    <row r="308" spans="10:10" ht="13.2">
      <c r="J308" s="43"/>
    </row>
    <row r="309" spans="10:10" ht="13.2">
      <c r="J309" s="43"/>
    </row>
    <row r="310" spans="10:10" ht="13.2">
      <c r="J310" s="43"/>
    </row>
    <row r="311" spans="10:10" ht="13.2">
      <c r="J311" s="43"/>
    </row>
    <row r="312" spans="10:10" ht="13.2">
      <c r="J312" s="43"/>
    </row>
    <row r="313" spans="10:10" ht="13.2">
      <c r="J313" s="43"/>
    </row>
    <row r="314" spans="10:10" ht="13.2">
      <c r="J314" s="43"/>
    </row>
    <row r="315" spans="10:10" ht="13.2">
      <c r="J315" s="43"/>
    </row>
    <row r="316" spans="10:10" ht="13.2">
      <c r="J316" s="43"/>
    </row>
    <row r="317" spans="10:10" ht="13.2">
      <c r="J317" s="43"/>
    </row>
    <row r="318" spans="10:10" ht="13.2">
      <c r="J318" s="43"/>
    </row>
    <row r="319" spans="10:10" ht="13.2">
      <c r="J319" s="43"/>
    </row>
    <row r="320" spans="10:10" ht="13.2">
      <c r="J320" s="43"/>
    </row>
    <row r="321" spans="10:10" ht="13.2">
      <c r="J321" s="43"/>
    </row>
    <row r="322" spans="10:10" ht="13.2">
      <c r="J322" s="43"/>
    </row>
    <row r="323" spans="10:10" ht="13.2">
      <c r="J323" s="43"/>
    </row>
    <row r="324" spans="10:10" ht="13.2">
      <c r="J324" s="43"/>
    </row>
    <row r="325" spans="10:10" ht="13.2">
      <c r="J325" s="43"/>
    </row>
    <row r="326" spans="10:10" ht="13.2">
      <c r="J326" s="43"/>
    </row>
    <row r="327" spans="10:10" ht="13.2">
      <c r="J327" s="43"/>
    </row>
    <row r="328" spans="10:10" ht="13.2">
      <c r="J328" s="43"/>
    </row>
    <row r="329" spans="10:10" ht="13.2">
      <c r="J329" s="43"/>
    </row>
    <row r="330" spans="10:10" ht="13.2">
      <c r="J330" s="43"/>
    </row>
    <row r="331" spans="10:10" ht="13.2">
      <c r="J331" s="43"/>
    </row>
    <row r="332" spans="10:10" ht="13.2">
      <c r="J332" s="43"/>
    </row>
    <row r="333" spans="10:10" ht="13.2">
      <c r="J333" s="43"/>
    </row>
    <row r="334" spans="10:10" ht="13.2">
      <c r="J334" s="43"/>
    </row>
    <row r="335" spans="10:10" ht="13.2">
      <c r="J335" s="43"/>
    </row>
    <row r="336" spans="10:10" ht="13.2">
      <c r="J336" s="43"/>
    </row>
    <row r="337" spans="10:10" ht="13.2">
      <c r="J337" s="43"/>
    </row>
    <row r="338" spans="10:10" ht="13.2">
      <c r="J338" s="43"/>
    </row>
    <row r="339" spans="10:10" ht="13.2">
      <c r="J339" s="43"/>
    </row>
    <row r="340" spans="10:10" ht="13.2">
      <c r="J340" s="43"/>
    </row>
    <row r="341" spans="10:10" ht="13.2">
      <c r="J341" s="43"/>
    </row>
    <row r="342" spans="10:10" ht="13.2">
      <c r="J342" s="43"/>
    </row>
    <row r="343" spans="10:10" ht="13.2">
      <c r="J343" s="43"/>
    </row>
    <row r="344" spans="10:10" ht="13.2">
      <c r="J344" s="43"/>
    </row>
    <row r="345" spans="10:10" ht="13.2">
      <c r="J345" s="43"/>
    </row>
    <row r="346" spans="10:10" ht="13.2">
      <c r="J346" s="43"/>
    </row>
    <row r="347" spans="10:10" ht="13.2">
      <c r="J347" s="43"/>
    </row>
    <row r="348" spans="10:10" ht="13.2">
      <c r="J348" s="43"/>
    </row>
    <row r="349" spans="10:10" ht="13.2">
      <c r="J349" s="43"/>
    </row>
    <row r="350" spans="10:10" ht="13.2">
      <c r="J350" s="43"/>
    </row>
    <row r="351" spans="10:10" ht="13.2">
      <c r="J351" s="43"/>
    </row>
    <row r="352" spans="10:10" ht="13.2">
      <c r="J352" s="43"/>
    </row>
    <row r="353" spans="10:10" ht="13.2">
      <c r="J353" s="43"/>
    </row>
    <row r="354" spans="10:10" ht="13.2">
      <c r="J354" s="43"/>
    </row>
    <row r="355" spans="10:10" ht="13.2">
      <c r="J355" s="43"/>
    </row>
    <row r="356" spans="10:10" ht="13.2">
      <c r="J356" s="43"/>
    </row>
    <row r="357" spans="10:10" ht="13.2">
      <c r="J357" s="43"/>
    </row>
    <row r="358" spans="10:10" ht="13.2">
      <c r="J358" s="43"/>
    </row>
    <row r="359" spans="10:10" ht="13.2">
      <c r="J359" s="43"/>
    </row>
    <row r="360" spans="10:10" ht="13.2">
      <c r="J360" s="43"/>
    </row>
    <row r="361" spans="10:10" ht="13.2">
      <c r="J361" s="43"/>
    </row>
    <row r="362" spans="10:10" ht="13.2">
      <c r="J362" s="43"/>
    </row>
    <row r="363" spans="10:10" ht="13.2">
      <c r="J363" s="43"/>
    </row>
    <row r="364" spans="10:10" ht="13.2">
      <c r="J364" s="43"/>
    </row>
    <row r="365" spans="10:10" ht="13.2">
      <c r="J365" s="43"/>
    </row>
    <row r="366" spans="10:10" ht="13.2">
      <c r="J366" s="43"/>
    </row>
    <row r="367" spans="10:10" ht="13.2">
      <c r="J367" s="43"/>
    </row>
    <row r="368" spans="10:10" ht="13.2">
      <c r="J368" s="43"/>
    </row>
    <row r="369" spans="10:10" ht="13.2">
      <c r="J369" s="43"/>
    </row>
    <row r="370" spans="10:10" ht="13.2">
      <c r="J370" s="43"/>
    </row>
    <row r="371" spans="10:10" ht="13.2">
      <c r="J371" s="43"/>
    </row>
    <row r="372" spans="10:10" ht="13.2">
      <c r="J372" s="43"/>
    </row>
    <row r="373" spans="10:10" ht="13.2">
      <c r="J373" s="43"/>
    </row>
    <row r="374" spans="10:10" ht="13.2">
      <c r="J374" s="43"/>
    </row>
    <row r="375" spans="10:10" ht="13.2">
      <c r="J375" s="43"/>
    </row>
    <row r="376" spans="10:10" ht="13.2">
      <c r="J376" s="43"/>
    </row>
    <row r="377" spans="10:10" ht="13.2">
      <c r="J377" s="43"/>
    </row>
    <row r="378" spans="10:10" ht="13.2">
      <c r="J378" s="43"/>
    </row>
    <row r="379" spans="10:10" ht="13.2">
      <c r="J379" s="43"/>
    </row>
    <row r="380" spans="10:10" ht="13.2">
      <c r="J380" s="43"/>
    </row>
    <row r="381" spans="10:10" ht="13.2">
      <c r="J381" s="43"/>
    </row>
    <row r="382" spans="10:10" ht="13.2">
      <c r="J382" s="43"/>
    </row>
    <row r="383" spans="10:10" ht="13.2">
      <c r="J383" s="43"/>
    </row>
    <row r="384" spans="10:10" ht="13.2">
      <c r="J384" s="43"/>
    </row>
    <row r="385" spans="10:10" ht="13.2">
      <c r="J385" s="43"/>
    </row>
    <row r="386" spans="10:10" ht="13.2">
      <c r="J386" s="43"/>
    </row>
    <row r="387" spans="10:10" ht="13.2">
      <c r="J387" s="43"/>
    </row>
    <row r="388" spans="10:10" ht="13.2">
      <c r="J388" s="43"/>
    </row>
    <row r="389" spans="10:10" ht="13.2">
      <c r="J389" s="43"/>
    </row>
    <row r="390" spans="10:10" ht="13.2">
      <c r="J390" s="43"/>
    </row>
    <row r="391" spans="10:10" ht="13.2">
      <c r="J391" s="43"/>
    </row>
    <row r="392" spans="10:10" ht="13.2">
      <c r="J392" s="43"/>
    </row>
    <row r="393" spans="10:10" ht="13.2">
      <c r="J393" s="43"/>
    </row>
    <row r="394" spans="10:10" ht="13.2">
      <c r="J394" s="43"/>
    </row>
    <row r="395" spans="10:10" ht="13.2">
      <c r="J395" s="43"/>
    </row>
    <row r="396" spans="10:10" ht="13.2">
      <c r="J396" s="43"/>
    </row>
    <row r="397" spans="10:10" ht="13.2">
      <c r="J397" s="43"/>
    </row>
    <row r="398" spans="10:10" ht="13.2">
      <c r="J398" s="43"/>
    </row>
    <row r="399" spans="10:10" ht="13.2">
      <c r="J399" s="43"/>
    </row>
    <row r="400" spans="10:10" ht="13.2">
      <c r="J400" s="43"/>
    </row>
    <row r="401" spans="10:10" ht="13.2">
      <c r="J401" s="43"/>
    </row>
    <row r="402" spans="10:10" ht="13.2">
      <c r="J402" s="43"/>
    </row>
    <row r="403" spans="10:10" ht="13.2">
      <c r="J403" s="43"/>
    </row>
    <row r="404" spans="10:10" ht="13.2">
      <c r="J404" s="43"/>
    </row>
    <row r="405" spans="10:10" ht="13.2">
      <c r="J405" s="43"/>
    </row>
    <row r="406" spans="10:10" ht="13.2">
      <c r="J406" s="43"/>
    </row>
    <row r="407" spans="10:10" ht="13.2">
      <c r="J407" s="43"/>
    </row>
    <row r="408" spans="10:10" ht="13.2">
      <c r="J408" s="43"/>
    </row>
    <row r="409" spans="10:10" ht="13.2">
      <c r="J409" s="43"/>
    </row>
    <row r="410" spans="10:10" ht="13.2">
      <c r="J410" s="43"/>
    </row>
    <row r="411" spans="10:10" ht="13.2">
      <c r="J411" s="43"/>
    </row>
    <row r="412" spans="10:10" ht="13.2">
      <c r="J412" s="43"/>
    </row>
    <row r="413" spans="10:10" ht="13.2">
      <c r="J413" s="43"/>
    </row>
    <row r="414" spans="10:10" ht="13.2">
      <c r="J414" s="43"/>
    </row>
    <row r="415" spans="10:10" ht="13.2">
      <c r="J415" s="43"/>
    </row>
    <row r="416" spans="10:10" ht="13.2">
      <c r="J416" s="43"/>
    </row>
    <row r="417" spans="10:10" ht="13.2">
      <c r="J417" s="43"/>
    </row>
    <row r="418" spans="10:10" ht="13.2">
      <c r="J418" s="43"/>
    </row>
    <row r="419" spans="10:10" ht="13.2">
      <c r="J419" s="43"/>
    </row>
    <row r="420" spans="10:10" ht="13.2">
      <c r="J420" s="43"/>
    </row>
    <row r="421" spans="10:10" ht="13.2">
      <c r="J421" s="43"/>
    </row>
    <row r="422" spans="10:10" ht="13.2">
      <c r="J422" s="43"/>
    </row>
    <row r="423" spans="10:10" ht="13.2">
      <c r="J423" s="43"/>
    </row>
    <row r="424" spans="10:10" ht="13.2">
      <c r="J424" s="43"/>
    </row>
    <row r="425" spans="10:10" ht="13.2">
      <c r="J425" s="43"/>
    </row>
    <row r="426" spans="10:10" ht="13.2">
      <c r="J426" s="43"/>
    </row>
    <row r="427" spans="10:10" ht="13.2">
      <c r="J427" s="43"/>
    </row>
    <row r="428" spans="10:10" ht="13.2">
      <c r="J428" s="43"/>
    </row>
    <row r="429" spans="10:10" ht="13.2">
      <c r="J429" s="43"/>
    </row>
    <row r="430" spans="10:10" ht="13.2">
      <c r="J430" s="43"/>
    </row>
    <row r="431" spans="10:10" ht="13.2">
      <c r="J431" s="43"/>
    </row>
    <row r="432" spans="10:10" ht="13.2">
      <c r="J432" s="43"/>
    </row>
    <row r="433" spans="10:10" ht="13.2">
      <c r="J433" s="43"/>
    </row>
    <row r="434" spans="10:10" ht="13.2">
      <c r="J434" s="43"/>
    </row>
    <row r="435" spans="10:10" ht="13.2">
      <c r="J435" s="43"/>
    </row>
    <row r="436" spans="10:10" ht="13.2">
      <c r="J436" s="43"/>
    </row>
    <row r="437" spans="10:10" ht="13.2">
      <c r="J437" s="43"/>
    </row>
    <row r="438" spans="10:10" ht="13.2">
      <c r="J438" s="43"/>
    </row>
    <row r="439" spans="10:10" ht="13.2">
      <c r="J439" s="43"/>
    </row>
    <row r="440" spans="10:10" ht="13.2">
      <c r="J440" s="43"/>
    </row>
    <row r="441" spans="10:10" ht="13.2">
      <c r="J441" s="43"/>
    </row>
    <row r="442" spans="10:10" ht="13.2">
      <c r="J442" s="43"/>
    </row>
    <row r="443" spans="10:10" ht="13.2">
      <c r="J443" s="43"/>
    </row>
    <row r="444" spans="10:10" ht="13.2">
      <c r="J444" s="43"/>
    </row>
    <row r="445" spans="10:10" ht="13.2">
      <c r="J445" s="43"/>
    </row>
    <row r="446" spans="10:10" ht="13.2">
      <c r="J446" s="43"/>
    </row>
    <row r="447" spans="10:10" ht="13.2">
      <c r="J447" s="43"/>
    </row>
    <row r="448" spans="10:10" ht="13.2">
      <c r="J448" s="43"/>
    </row>
    <row r="449" spans="10:10" ht="13.2">
      <c r="J449" s="43"/>
    </row>
    <row r="450" spans="10:10" ht="13.2">
      <c r="J450" s="43"/>
    </row>
    <row r="451" spans="10:10" ht="13.2">
      <c r="J451" s="43"/>
    </row>
    <row r="452" spans="10:10" ht="13.2">
      <c r="J452" s="43"/>
    </row>
    <row r="453" spans="10:10" ht="13.2">
      <c r="J453" s="43"/>
    </row>
    <row r="454" spans="10:10" ht="13.2">
      <c r="J454" s="43"/>
    </row>
    <row r="455" spans="10:10" ht="13.2">
      <c r="J455" s="43"/>
    </row>
    <row r="456" spans="10:10" ht="13.2">
      <c r="J456" s="43"/>
    </row>
    <row r="457" spans="10:10" ht="13.2">
      <c r="J457" s="43"/>
    </row>
    <row r="458" spans="10:10" ht="13.2">
      <c r="J458" s="43"/>
    </row>
    <row r="459" spans="10:10" ht="13.2">
      <c r="J459" s="43"/>
    </row>
    <row r="460" spans="10:10" ht="13.2">
      <c r="J460" s="43"/>
    </row>
    <row r="461" spans="10:10" ht="13.2">
      <c r="J461" s="43"/>
    </row>
    <row r="462" spans="10:10" ht="13.2">
      <c r="J462" s="43"/>
    </row>
    <row r="463" spans="10:10" ht="13.2">
      <c r="J463" s="43"/>
    </row>
    <row r="464" spans="10:10" ht="13.2">
      <c r="J464" s="43"/>
    </row>
    <row r="465" spans="10:10" ht="13.2">
      <c r="J465" s="43"/>
    </row>
    <row r="466" spans="10:10" ht="13.2">
      <c r="J466" s="43"/>
    </row>
    <row r="467" spans="10:10" ht="13.2">
      <c r="J467" s="43"/>
    </row>
    <row r="468" spans="10:10" ht="13.2">
      <c r="J468" s="43"/>
    </row>
    <row r="469" spans="10:10" ht="13.2">
      <c r="J469" s="43"/>
    </row>
    <row r="470" spans="10:10" ht="13.2">
      <c r="J470" s="43"/>
    </row>
    <row r="471" spans="10:10" ht="13.2">
      <c r="J471" s="43"/>
    </row>
    <row r="472" spans="10:10" ht="13.2">
      <c r="J472" s="43"/>
    </row>
    <row r="473" spans="10:10" ht="13.2">
      <c r="J473" s="43"/>
    </row>
    <row r="474" spans="10:10" ht="13.2">
      <c r="J474" s="43"/>
    </row>
    <row r="475" spans="10:10" ht="13.2">
      <c r="J475" s="43"/>
    </row>
    <row r="476" spans="10:10" ht="13.2">
      <c r="J476" s="43"/>
    </row>
    <row r="477" spans="10:10" ht="13.2">
      <c r="J477" s="43"/>
    </row>
    <row r="478" spans="10:10" ht="13.2">
      <c r="J478" s="43"/>
    </row>
    <row r="479" spans="10:10" ht="13.2">
      <c r="J479" s="43"/>
    </row>
    <row r="480" spans="10:10" ht="13.2">
      <c r="J480" s="43"/>
    </row>
    <row r="481" spans="10:10" ht="13.2">
      <c r="J481" s="43"/>
    </row>
    <row r="482" spans="10:10" ht="13.2">
      <c r="J482" s="43"/>
    </row>
    <row r="483" spans="10:10" ht="13.2">
      <c r="J483" s="43"/>
    </row>
    <row r="484" spans="10:10" ht="13.2">
      <c r="J484" s="43"/>
    </row>
    <row r="485" spans="10:10" ht="13.2">
      <c r="J485" s="43"/>
    </row>
    <row r="486" spans="10:10" ht="13.2">
      <c r="J486" s="43"/>
    </row>
    <row r="487" spans="10:10" ht="13.2">
      <c r="J487" s="43"/>
    </row>
    <row r="488" spans="10:10" ht="13.2">
      <c r="J488" s="43"/>
    </row>
    <row r="489" spans="10:10" ht="13.2">
      <c r="J489" s="43"/>
    </row>
    <row r="490" spans="10:10" ht="13.2">
      <c r="J490" s="43"/>
    </row>
    <row r="491" spans="10:10" ht="13.2">
      <c r="J491" s="43"/>
    </row>
    <row r="492" spans="10:10" ht="13.2">
      <c r="J492" s="43"/>
    </row>
    <row r="493" spans="10:10" ht="13.2">
      <c r="J493" s="43"/>
    </row>
    <row r="494" spans="10:10" ht="13.2">
      <c r="J494" s="43"/>
    </row>
    <row r="495" spans="10:10" ht="13.2">
      <c r="J495" s="43"/>
    </row>
    <row r="496" spans="10:10" ht="13.2">
      <c r="J496" s="43"/>
    </row>
    <row r="497" spans="10:10" ht="13.2">
      <c r="J497" s="43"/>
    </row>
    <row r="498" spans="10:10" ht="13.2">
      <c r="J498" s="43"/>
    </row>
    <row r="499" spans="10:10" ht="13.2">
      <c r="J499" s="43"/>
    </row>
    <row r="500" spans="10:10" ht="13.2">
      <c r="J500" s="43"/>
    </row>
    <row r="501" spans="10:10" ht="13.2">
      <c r="J501" s="43"/>
    </row>
    <row r="502" spans="10:10" ht="13.2">
      <c r="J502" s="43"/>
    </row>
    <row r="503" spans="10:10" ht="13.2">
      <c r="J503" s="43"/>
    </row>
    <row r="504" spans="10:10" ht="13.2">
      <c r="J504" s="43"/>
    </row>
    <row r="505" spans="10:10" ht="13.2">
      <c r="J505" s="43"/>
    </row>
    <row r="506" spans="10:10" ht="13.2">
      <c r="J506" s="43"/>
    </row>
    <row r="507" spans="10:10" ht="13.2">
      <c r="J507" s="43"/>
    </row>
    <row r="508" spans="10:10" ht="13.2">
      <c r="J508" s="43"/>
    </row>
    <row r="509" spans="10:10" ht="13.2">
      <c r="J509" s="43"/>
    </row>
    <row r="510" spans="10:10" ht="13.2">
      <c r="J510" s="43"/>
    </row>
    <row r="511" spans="10:10" ht="13.2">
      <c r="J511" s="43"/>
    </row>
    <row r="512" spans="10:10" ht="13.2">
      <c r="J512" s="43"/>
    </row>
    <row r="513" spans="10:10" ht="13.2">
      <c r="J513" s="43"/>
    </row>
    <row r="514" spans="10:10" ht="13.2">
      <c r="J514" s="43"/>
    </row>
    <row r="515" spans="10:10" ht="13.2">
      <c r="J515" s="43"/>
    </row>
    <row r="516" spans="10:10" ht="13.2">
      <c r="J516" s="43"/>
    </row>
    <row r="517" spans="10:10" ht="13.2">
      <c r="J517" s="43"/>
    </row>
    <row r="518" spans="10:10" ht="13.2">
      <c r="J518" s="43"/>
    </row>
    <row r="519" spans="10:10" ht="13.2">
      <c r="J519" s="43"/>
    </row>
    <row r="520" spans="10:10" ht="13.2">
      <c r="J520" s="43"/>
    </row>
    <row r="521" spans="10:10" ht="13.2">
      <c r="J521" s="43"/>
    </row>
    <row r="522" spans="10:10" ht="13.2">
      <c r="J522" s="43"/>
    </row>
    <row r="523" spans="10:10" ht="13.2">
      <c r="J523" s="43"/>
    </row>
    <row r="524" spans="10:10" ht="13.2">
      <c r="J524" s="43"/>
    </row>
    <row r="525" spans="10:10" ht="13.2">
      <c r="J525" s="43"/>
    </row>
    <row r="526" spans="10:10" ht="13.2">
      <c r="J526" s="43"/>
    </row>
    <row r="527" spans="10:10" ht="13.2">
      <c r="J527" s="43"/>
    </row>
    <row r="528" spans="10:10" ht="13.2">
      <c r="J528" s="43"/>
    </row>
    <row r="529" spans="10:10" ht="13.2">
      <c r="J529" s="43"/>
    </row>
    <row r="530" spans="10:10" ht="13.2">
      <c r="J530" s="43"/>
    </row>
    <row r="531" spans="10:10" ht="13.2">
      <c r="J531" s="43"/>
    </row>
    <row r="532" spans="10:10" ht="13.2">
      <c r="J532" s="43"/>
    </row>
    <row r="533" spans="10:10" ht="13.2">
      <c r="J533" s="43"/>
    </row>
    <row r="534" spans="10:10" ht="13.2">
      <c r="J534" s="43"/>
    </row>
    <row r="535" spans="10:10" ht="13.2">
      <c r="J535" s="43"/>
    </row>
    <row r="536" spans="10:10" ht="13.2">
      <c r="J536" s="43"/>
    </row>
    <row r="537" spans="10:10" ht="13.2">
      <c r="J537" s="43"/>
    </row>
    <row r="538" spans="10:10" ht="13.2">
      <c r="J538" s="43"/>
    </row>
    <row r="539" spans="10:10" ht="13.2">
      <c r="J539" s="43"/>
    </row>
    <row r="540" spans="10:10" ht="13.2">
      <c r="J540" s="43"/>
    </row>
    <row r="541" spans="10:10" ht="13.2">
      <c r="J541" s="43"/>
    </row>
    <row r="542" spans="10:10" ht="13.2">
      <c r="J542" s="43"/>
    </row>
    <row r="543" spans="10:10" ht="13.2">
      <c r="J543" s="43"/>
    </row>
    <row r="544" spans="10:10" ht="13.2">
      <c r="J544" s="43"/>
    </row>
    <row r="545" spans="10:10" ht="13.2">
      <c r="J545" s="43"/>
    </row>
    <row r="546" spans="10:10" ht="13.2">
      <c r="J546" s="43"/>
    </row>
    <row r="547" spans="10:10" ht="13.2">
      <c r="J547" s="43"/>
    </row>
    <row r="548" spans="10:10" ht="13.2">
      <c r="J548" s="43"/>
    </row>
    <row r="549" spans="10:10" ht="13.2">
      <c r="J549" s="43"/>
    </row>
    <row r="550" spans="10:10" ht="13.2">
      <c r="J550" s="43"/>
    </row>
    <row r="551" spans="10:10" ht="13.2">
      <c r="J551" s="43"/>
    </row>
    <row r="552" spans="10:10" ht="13.2">
      <c r="J552" s="43"/>
    </row>
    <row r="553" spans="10:10" ht="13.2">
      <c r="J553" s="43"/>
    </row>
    <row r="554" spans="10:10" ht="13.2">
      <c r="J554" s="43"/>
    </row>
    <row r="555" spans="10:10" ht="13.2">
      <c r="J555" s="43"/>
    </row>
    <row r="556" spans="10:10" ht="13.2">
      <c r="J556" s="43"/>
    </row>
    <row r="557" spans="10:10" ht="13.2">
      <c r="J557" s="43"/>
    </row>
    <row r="558" spans="10:10" ht="13.2">
      <c r="J558" s="43"/>
    </row>
    <row r="559" spans="10:10" ht="13.2">
      <c r="J559" s="43"/>
    </row>
    <row r="560" spans="10:10" ht="13.2">
      <c r="J560" s="43"/>
    </row>
    <row r="561" spans="10:10" ht="13.2">
      <c r="J561" s="43"/>
    </row>
    <row r="562" spans="10:10" ht="13.2">
      <c r="J562" s="43"/>
    </row>
    <row r="563" spans="10:10" ht="13.2">
      <c r="J563" s="43"/>
    </row>
    <row r="564" spans="10:10" ht="13.2">
      <c r="J564" s="43"/>
    </row>
    <row r="565" spans="10:10" ht="13.2">
      <c r="J565" s="43"/>
    </row>
    <row r="566" spans="10:10" ht="13.2">
      <c r="J566" s="43"/>
    </row>
    <row r="567" spans="10:10" ht="13.2">
      <c r="J567" s="43"/>
    </row>
    <row r="568" spans="10:10" ht="13.2">
      <c r="J568" s="43"/>
    </row>
    <row r="569" spans="10:10" ht="13.2">
      <c r="J569" s="43"/>
    </row>
    <row r="570" spans="10:10" ht="13.2">
      <c r="J570" s="43"/>
    </row>
    <row r="571" spans="10:10" ht="13.2">
      <c r="J571" s="43"/>
    </row>
    <row r="572" spans="10:10" ht="13.2">
      <c r="J572" s="43"/>
    </row>
    <row r="573" spans="10:10" ht="13.2">
      <c r="J573" s="43"/>
    </row>
    <row r="574" spans="10:10" ht="13.2">
      <c r="J574" s="43"/>
    </row>
    <row r="575" spans="10:10" ht="13.2">
      <c r="J575" s="43"/>
    </row>
    <row r="576" spans="10:10" ht="13.2">
      <c r="J576" s="43"/>
    </row>
    <row r="577" spans="10:10" ht="13.2">
      <c r="J577" s="43"/>
    </row>
    <row r="578" spans="10:10" ht="13.2">
      <c r="J578" s="43"/>
    </row>
    <row r="579" spans="10:10" ht="13.2">
      <c r="J579" s="43"/>
    </row>
    <row r="580" spans="10:10" ht="13.2">
      <c r="J580" s="43"/>
    </row>
    <row r="581" spans="10:10" ht="13.2">
      <c r="J581" s="43"/>
    </row>
    <row r="582" spans="10:10" ht="13.2">
      <c r="J582" s="43"/>
    </row>
    <row r="583" spans="10:10" ht="13.2">
      <c r="J583" s="43"/>
    </row>
    <row r="584" spans="10:10" ht="13.2">
      <c r="J584" s="43"/>
    </row>
    <row r="585" spans="10:10" ht="13.2">
      <c r="J585" s="43"/>
    </row>
    <row r="586" spans="10:10" ht="13.2">
      <c r="J586" s="43"/>
    </row>
    <row r="587" spans="10:10" ht="13.2">
      <c r="J587" s="43"/>
    </row>
    <row r="588" spans="10:10" ht="13.2">
      <c r="J588" s="43"/>
    </row>
    <row r="589" spans="10:10" ht="13.2">
      <c r="J589" s="43"/>
    </row>
    <row r="590" spans="10:10" ht="13.2">
      <c r="J590" s="43"/>
    </row>
    <row r="591" spans="10:10" ht="13.2">
      <c r="J591" s="43"/>
    </row>
    <row r="592" spans="10:10" ht="13.2">
      <c r="J592" s="43"/>
    </row>
    <row r="593" spans="10:10" ht="13.2">
      <c r="J593" s="43"/>
    </row>
    <row r="594" spans="10:10" ht="13.2">
      <c r="J594" s="43"/>
    </row>
    <row r="595" spans="10:10" ht="13.2">
      <c r="J595" s="43"/>
    </row>
    <row r="596" spans="10:10" ht="13.2">
      <c r="J596" s="43"/>
    </row>
    <row r="597" spans="10:10" ht="13.2">
      <c r="J597" s="43"/>
    </row>
    <row r="598" spans="10:10" ht="13.2">
      <c r="J598" s="43"/>
    </row>
    <row r="599" spans="10:10" ht="13.2">
      <c r="J599" s="43"/>
    </row>
    <row r="600" spans="10:10" ht="13.2">
      <c r="J600" s="43"/>
    </row>
    <row r="601" spans="10:10" ht="13.2">
      <c r="J601" s="43"/>
    </row>
    <row r="602" spans="10:10" ht="13.2">
      <c r="J602" s="43"/>
    </row>
    <row r="603" spans="10:10" ht="13.2">
      <c r="J603" s="43"/>
    </row>
    <row r="604" spans="10:10" ht="13.2">
      <c r="J604" s="43"/>
    </row>
    <row r="605" spans="10:10" ht="13.2">
      <c r="J605" s="43"/>
    </row>
    <row r="606" spans="10:10" ht="13.2">
      <c r="J606" s="43"/>
    </row>
    <row r="607" spans="10:10" ht="13.2">
      <c r="J607" s="43"/>
    </row>
    <row r="608" spans="10:10" ht="13.2">
      <c r="J608" s="43"/>
    </row>
    <row r="609" spans="10:10" ht="13.2">
      <c r="J609" s="43"/>
    </row>
    <row r="610" spans="10:10" ht="13.2">
      <c r="J610" s="43"/>
    </row>
    <row r="611" spans="10:10" ht="13.2">
      <c r="J611" s="43"/>
    </row>
    <row r="612" spans="10:10" ht="13.2">
      <c r="J612" s="43"/>
    </row>
    <row r="613" spans="10:10" ht="13.2">
      <c r="J613" s="43"/>
    </row>
    <row r="614" spans="10:10" ht="13.2">
      <c r="J614" s="43"/>
    </row>
    <row r="615" spans="10:10" ht="13.2">
      <c r="J615" s="43"/>
    </row>
    <row r="616" spans="10:10" ht="13.2">
      <c r="J616" s="43"/>
    </row>
    <row r="617" spans="10:10" ht="13.2">
      <c r="J617" s="43"/>
    </row>
    <row r="618" spans="10:10" ht="13.2">
      <c r="J618" s="43"/>
    </row>
    <row r="619" spans="10:10" ht="13.2">
      <c r="J619" s="43"/>
    </row>
    <row r="620" spans="10:10" ht="13.2">
      <c r="J620" s="43"/>
    </row>
    <row r="621" spans="10:10" ht="13.2">
      <c r="J621" s="43"/>
    </row>
    <row r="622" spans="10:10" ht="13.2">
      <c r="J622" s="43"/>
    </row>
    <row r="623" spans="10:10" ht="13.2">
      <c r="J623" s="43"/>
    </row>
    <row r="624" spans="10:10" ht="13.2">
      <c r="J624" s="43"/>
    </row>
    <row r="625" spans="10:10" ht="13.2">
      <c r="J625" s="43"/>
    </row>
    <row r="626" spans="10:10" ht="13.2">
      <c r="J626" s="43"/>
    </row>
    <row r="627" spans="10:10" ht="13.2">
      <c r="J627" s="43"/>
    </row>
    <row r="628" spans="10:10" ht="13.2">
      <c r="J628" s="43"/>
    </row>
    <row r="629" spans="10:10" ht="13.2">
      <c r="J629" s="43"/>
    </row>
    <row r="630" spans="10:10" ht="13.2">
      <c r="J630" s="43"/>
    </row>
    <row r="631" spans="10:10" ht="13.2">
      <c r="J631" s="43"/>
    </row>
    <row r="632" spans="10:10" ht="13.2">
      <c r="J632" s="43"/>
    </row>
    <row r="633" spans="10:10" ht="13.2">
      <c r="J633" s="43"/>
    </row>
    <row r="634" spans="10:10" ht="13.2">
      <c r="J634" s="43"/>
    </row>
    <row r="635" spans="10:10" ht="13.2">
      <c r="J635" s="43"/>
    </row>
    <row r="636" spans="10:10" ht="13.2">
      <c r="J636" s="43"/>
    </row>
    <row r="637" spans="10:10" ht="13.2">
      <c r="J637" s="43"/>
    </row>
    <row r="638" spans="10:10" ht="13.2">
      <c r="J638" s="43"/>
    </row>
    <row r="639" spans="10:10" ht="13.2">
      <c r="J639" s="43"/>
    </row>
    <row r="640" spans="10:10" ht="13.2">
      <c r="J640" s="43"/>
    </row>
    <row r="641" spans="10:10" ht="13.2">
      <c r="J641" s="43"/>
    </row>
    <row r="642" spans="10:10" ht="13.2">
      <c r="J642" s="43"/>
    </row>
    <row r="643" spans="10:10" ht="13.2">
      <c r="J643" s="43"/>
    </row>
    <row r="644" spans="10:10" ht="13.2">
      <c r="J644" s="43"/>
    </row>
    <row r="645" spans="10:10" ht="13.2">
      <c r="J645" s="43"/>
    </row>
    <row r="646" spans="10:10" ht="13.2">
      <c r="J646" s="43"/>
    </row>
    <row r="647" spans="10:10" ht="13.2">
      <c r="J647" s="43"/>
    </row>
    <row r="648" spans="10:10" ht="13.2">
      <c r="J648" s="43"/>
    </row>
    <row r="649" spans="10:10" ht="13.2">
      <c r="J649" s="43"/>
    </row>
    <row r="650" spans="10:10" ht="13.2">
      <c r="J650" s="43"/>
    </row>
    <row r="651" spans="10:10" ht="13.2">
      <c r="J651" s="43"/>
    </row>
    <row r="652" spans="10:10" ht="13.2">
      <c r="J652" s="43"/>
    </row>
    <row r="653" spans="10:10" ht="13.2">
      <c r="J653" s="43"/>
    </row>
    <row r="654" spans="10:10" ht="13.2">
      <c r="J654" s="43"/>
    </row>
    <row r="655" spans="10:10" ht="13.2">
      <c r="J655" s="43"/>
    </row>
    <row r="656" spans="10:10" ht="13.2">
      <c r="J656" s="43"/>
    </row>
    <row r="657" spans="10:10" ht="13.2">
      <c r="J657" s="43"/>
    </row>
    <row r="658" spans="10:10" ht="13.2">
      <c r="J658" s="43"/>
    </row>
    <row r="659" spans="10:10" ht="13.2">
      <c r="J659" s="43"/>
    </row>
    <row r="660" spans="10:10" ht="13.2">
      <c r="J660" s="43"/>
    </row>
    <row r="661" spans="10:10" ht="13.2">
      <c r="J661" s="43"/>
    </row>
    <row r="662" spans="10:10" ht="13.2">
      <c r="J662" s="43"/>
    </row>
    <row r="663" spans="10:10" ht="13.2">
      <c r="J663" s="43"/>
    </row>
    <row r="664" spans="10:10" ht="13.2">
      <c r="J664" s="43"/>
    </row>
    <row r="665" spans="10:10" ht="13.2">
      <c r="J665" s="43"/>
    </row>
    <row r="666" spans="10:10" ht="13.2">
      <c r="J666" s="43"/>
    </row>
    <row r="667" spans="10:10" ht="13.2">
      <c r="J667" s="43"/>
    </row>
    <row r="668" spans="10:10" ht="13.2">
      <c r="J668" s="43"/>
    </row>
    <row r="669" spans="10:10" ht="13.2">
      <c r="J669" s="43"/>
    </row>
    <row r="670" spans="10:10" ht="13.2">
      <c r="J670" s="43"/>
    </row>
    <row r="671" spans="10:10" ht="13.2">
      <c r="J671" s="43"/>
    </row>
    <row r="672" spans="10:10" ht="13.2">
      <c r="J672" s="43"/>
    </row>
    <row r="673" spans="10:10" ht="13.2">
      <c r="J673" s="43"/>
    </row>
    <row r="674" spans="10:10" ht="13.2">
      <c r="J674" s="43"/>
    </row>
    <row r="675" spans="10:10" ht="13.2">
      <c r="J675" s="43"/>
    </row>
    <row r="676" spans="10:10" ht="13.2">
      <c r="J676" s="43"/>
    </row>
    <row r="677" spans="10:10" ht="13.2">
      <c r="J677" s="43"/>
    </row>
    <row r="678" spans="10:10" ht="13.2">
      <c r="J678" s="43"/>
    </row>
    <row r="679" spans="10:10" ht="13.2">
      <c r="J679" s="43"/>
    </row>
    <row r="680" spans="10:10" ht="13.2">
      <c r="J680" s="43"/>
    </row>
    <row r="681" spans="10:10" ht="13.2">
      <c r="J681" s="43"/>
    </row>
    <row r="682" spans="10:10" ht="13.2">
      <c r="J682" s="43"/>
    </row>
    <row r="683" spans="10:10" ht="13.2">
      <c r="J683" s="43"/>
    </row>
    <row r="684" spans="10:10" ht="13.2">
      <c r="J684" s="43"/>
    </row>
    <row r="685" spans="10:10" ht="13.2">
      <c r="J685" s="43"/>
    </row>
    <row r="686" spans="10:10" ht="13.2">
      <c r="J686" s="43"/>
    </row>
    <row r="687" spans="10:10" ht="13.2">
      <c r="J687" s="43"/>
    </row>
    <row r="688" spans="10:10" ht="13.2">
      <c r="J688" s="43"/>
    </row>
    <row r="689" spans="10:10" ht="13.2">
      <c r="J689" s="43"/>
    </row>
    <row r="690" spans="10:10" ht="13.2">
      <c r="J690" s="43"/>
    </row>
    <row r="691" spans="10:10" ht="13.2">
      <c r="J691" s="43"/>
    </row>
    <row r="692" spans="10:10" ht="13.2">
      <c r="J692" s="43"/>
    </row>
    <row r="693" spans="10:10" ht="13.2">
      <c r="J693" s="43"/>
    </row>
    <row r="694" spans="10:10" ht="13.2">
      <c r="J694" s="43"/>
    </row>
    <row r="695" spans="10:10" ht="13.2">
      <c r="J695" s="43"/>
    </row>
    <row r="696" spans="10:10" ht="13.2">
      <c r="J696" s="43"/>
    </row>
    <row r="697" spans="10:10" ht="13.2">
      <c r="J697" s="43"/>
    </row>
    <row r="698" spans="10:10" ht="13.2">
      <c r="J698" s="43"/>
    </row>
    <row r="699" spans="10:10" ht="13.2">
      <c r="J699" s="43"/>
    </row>
    <row r="700" spans="10:10" ht="13.2">
      <c r="J700" s="43"/>
    </row>
    <row r="701" spans="10:10" ht="13.2">
      <c r="J701" s="43"/>
    </row>
    <row r="702" spans="10:10" ht="13.2">
      <c r="J702" s="43"/>
    </row>
    <row r="703" spans="10:10" ht="13.2">
      <c r="J703" s="43"/>
    </row>
    <row r="704" spans="10:10" ht="13.2">
      <c r="J704" s="43"/>
    </row>
    <row r="705" spans="10:10" ht="13.2">
      <c r="J705" s="43"/>
    </row>
    <row r="706" spans="10:10" ht="13.2">
      <c r="J706" s="43"/>
    </row>
    <row r="707" spans="10:10" ht="13.2">
      <c r="J707" s="43"/>
    </row>
    <row r="708" spans="10:10" ht="13.2">
      <c r="J708" s="43"/>
    </row>
    <row r="709" spans="10:10" ht="13.2">
      <c r="J709" s="43"/>
    </row>
    <row r="710" spans="10:10" ht="13.2">
      <c r="J710" s="43"/>
    </row>
    <row r="711" spans="10:10" ht="13.2">
      <c r="J711" s="43"/>
    </row>
    <row r="712" spans="10:10" ht="13.2">
      <c r="J712" s="43"/>
    </row>
    <row r="713" spans="10:10" ht="13.2">
      <c r="J713" s="43"/>
    </row>
    <row r="714" spans="10:10" ht="13.2">
      <c r="J714" s="43"/>
    </row>
    <row r="715" spans="10:10" ht="13.2">
      <c r="J715" s="43"/>
    </row>
    <row r="716" spans="10:10" ht="13.2">
      <c r="J716" s="43"/>
    </row>
    <row r="717" spans="10:10" ht="13.2">
      <c r="J717" s="43"/>
    </row>
    <row r="718" spans="10:10" ht="13.2">
      <c r="J718" s="43"/>
    </row>
    <row r="719" spans="10:10" ht="13.2">
      <c r="J719" s="43"/>
    </row>
    <row r="720" spans="10:10" ht="13.2">
      <c r="J720" s="43"/>
    </row>
    <row r="721" spans="10:10" ht="13.2">
      <c r="J721" s="43"/>
    </row>
    <row r="722" spans="10:10" ht="13.2">
      <c r="J722" s="43"/>
    </row>
    <row r="723" spans="10:10" ht="13.2">
      <c r="J723" s="43"/>
    </row>
    <row r="724" spans="10:10" ht="13.2">
      <c r="J724" s="43"/>
    </row>
    <row r="725" spans="10:10" ht="13.2">
      <c r="J725" s="43"/>
    </row>
    <row r="726" spans="10:10" ht="13.2">
      <c r="J726" s="43"/>
    </row>
    <row r="727" spans="10:10" ht="13.2">
      <c r="J727" s="43"/>
    </row>
    <row r="728" spans="10:10" ht="13.2">
      <c r="J728" s="43"/>
    </row>
    <row r="729" spans="10:10" ht="13.2">
      <c r="J729" s="43"/>
    </row>
    <row r="730" spans="10:10" ht="13.2">
      <c r="J730" s="43"/>
    </row>
    <row r="731" spans="10:10" ht="13.2">
      <c r="J731" s="43"/>
    </row>
    <row r="732" spans="10:10" ht="13.2">
      <c r="J732" s="43"/>
    </row>
    <row r="733" spans="10:10" ht="13.2">
      <c r="J733" s="43"/>
    </row>
    <row r="734" spans="10:10" ht="13.2">
      <c r="J734" s="43"/>
    </row>
    <row r="735" spans="10:10" ht="13.2">
      <c r="J735" s="43"/>
    </row>
    <row r="736" spans="10:10" ht="13.2">
      <c r="J736" s="43"/>
    </row>
    <row r="737" spans="10:10" ht="13.2">
      <c r="J737" s="43"/>
    </row>
    <row r="738" spans="10:10" ht="13.2">
      <c r="J738" s="43"/>
    </row>
    <row r="739" spans="10:10" ht="13.2">
      <c r="J739" s="43"/>
    </row>
    <row r="740" spans="10:10" ht="13.2">
      <c r="J740" s="43"/>
    </row>
    <row r="741" spans="10:10" ht="13.2">
      <c r="J741" s="43"/>
    </row>
    <row r="742" spans="10:10" ht="13.2">
      <c r="J742" s="43"/>
    </row>
    <row r="743" spans="10:10" ht="13.2">
      <c r="J743" s="43"/>
    </row>
    <row r="744" spans="10:10" ht="13.2">
      <c r="J744" s="43"/>
    </row>
    <row r="745" spans="10:10" ht="13.2">
      <c r="J745" s="43"/>
    </row>
    <row r="746" spans="10:10" ht="13.2">
      <c r="J746" s="43"/>
    </row>
    <row r="747" spans="10:10" ht="13.2">
      <c r="J747" s="43"/>
    </row>
    <row r="748" spans="10:10" ht="13.2">
      <c r="J748" s="43"/>
    </row>
    <row r="749" spans="10:10" ht="13.2">
      <c r="J749" s="43"/>
    </row>
    <row r="750" spans="10:10" ht="13.2">
      <c r="J750" s="43"/>
    </row>
    <row r="751" spans="10:10" ht="13.2">
      <c r="J751" s="43"/>
    </row>
    <row r="752" spans="10:10" ht="13.2">
      <c r="J752" s="43"/>
    </row>
    <row r="753" spans="10:10" ht="13.2">
      <c r="J753" s="43"/>
    </row>
    <row r="754" spans="10:10" ht="13.2">
      <c r="J754" s="43"/>
    </row>
    <row r="755" spans="10:10" ht="13.2">
      <c r="J755" s="43"/>
    </row>
    <row r="756" spans="10:10" ht="13.2">
      <c r="J756" s="43"/>
    </row>
    <row r="757" spans="10:10" ht="13.2">
      <c r="J757" s="43"/>
    </row>
    <row r="758" spans="10:10" ht="13.2">
      <c r="J758" s="43"/>
    </row>
    <row r="759" spans="10:10" ht="13.2">
      <c r="J759" s="43"/>
    </row>
    <row r="760" spans="10:10" ht="13.2">
      <c r="J760" s="43"/>
    </row>
    <row r="761" spans="10:10" ht="13.2">
      <c r="J761" s="43"/>
    </row>
    <row r="762" spans="10:10" ht="13.2">
      <c r="J762" s="43"/>
    </row>
    <row r="763" spans="10:10" ht="13.2">
      <c r="J763" s="43"/>
    </row>
    <row r="764" spans="10:10" ht="13.2">
      <c r="J764" s="43"/>
    </row>
    <row r="765" spans="10:10" ht="13.2">
      <c r="J765" s="43"/>
    </row>
    <row r="766" spans="10:10" ht="13.2">
      <c r="J766" s="43"/>
    </row>
    <row r="767" spans="10:10" ht="13.2">
      <c r="J767" s="43"/>
    </row>
    <row r="768" spans="10:10" ht="13.2">
      <c r="J768" s="43"/>
    </row>
    <row r="769" spans="10:10" ht="13.2">
      <c r="J769" s="43"/>
    </row>
    <row r="770" spans="10:10" ht="13.2">
      <c r="J770" s="43"/>
    </row>
    <row r="771" spans="10:10" ht="13.2">
      <c r="J771" s="43"/>
    </row>
    <row r="772" spans="10:10" ht="13.2">
      <c r="J772" s="43"/>
    </row>
    <row r="773" spans="10:10" ht="13.2">
      <c r="J773" s="43"/>
    </row>
    <row r="774" spans="10:10" ht="13.2">
      <c r="J774" s="43"/>
    </row>
    <row r="775" spans="10:10" ht="13.2">
      <c r="J775" s="43"/>
    </row>
    <row r="776" spans="10:10" ht="13.2">
      <c r="J776" s="43"/>
    </row>
    <row r="777" spans="10:10" ht="13.2">
      <c r="J777" s="43"/>
    </row>
    <row r="778" spans="10:10" ht="13.2">
      <c r="J778" s="43"/>
    </row>
    <row r="779" spans="10:10" ht="13.2">
      <c r="J779" s="43"/>
    </row>
    <row r="780" spans="10:10" ht="13.2">
      <c r="J780" s="43"/>
    </row>
    <row r="781" spans="10:10" ht="13.2">
      <c r="J781" s="43"/>
    </row>
    <row r="782" spans="10:10" ht="13.2">
      <c r="J782" s="43"/>
    </row>
    <row r="783" spans="10:10" ht="13.2">
      <c r="J783" s="43"/>
    </row>
    <row r="784" spans="10:10" ht="13.2">
      <c r="J784" s="43"/>
    </row>
    <row r="785" spans="10:10" ht="13.2">
      <c r="J785" s="43"/>
    </row>
    <row r="786" spans="10:10" ht="13.2">
      <c r="J786" s="43"/>
    </row>
    <row r="787" spans="10:10" ht="13.2">
      <c r="J787" s="43"/>
    </row>
    <row r="788" spans="10:10" ht="13.2">
      <c r="J788" s="43"/>
    </row>
    <row r="789" spans="10:10" ht="13.2">
      <c r="J789" s="43"/>
    </row>
    <row r="790" spans="10:10" ht="13.2">
      <c r="J790" s="43"/>
    </row>
    <row r="791" spans="10:10" ht="13.2">
      <c r="J791" s="43"/>
    </row>
    <row r="792" spans="10:10" ht="13.2">
      <c r="J792" s="43"/>
    </row>
    <row r="793" spans="10:10" ht="13.2">
      <c r="J793" s="43"/>
    </row>
    <row r="794" spans="10:10" ht="13.2">
      <c r="J794" s="43"/>
    </row>
    <row r="795" spans="10:10" ht="13.2">
      <c r="J795" s="43"/>
    </row>
    <row r="796" spans="10:10" ht="13.2">
      <c r="J796" s="43"/>
    </row>
    <row r="797" spans="10:10" ht="13.2">
      <c r="J797" s="43"/>
    </row>
    <row r="798" spans="10:10" ht="13.2">
      <c r="J798" s="43"/>
    </row>
    <row r="799" spans="10:10" ht="13.2">
      <c r="J799" s="43"/>
    </row>
    <row r="800" spans="10:10" ht="13.2">
      <c r="J800" s="43"/>
    </row>
    <row r="801" spans="10:10" ht="13.2">
      <c r="J801" s="43"/>
    </row>
    <row r="802" spans="10:10" ht="13.2">
      <c r="J802" s="43"/>
    </row>
    <row r="803" spans="10:10" ht="13.2">
      <c r="J803" s="43"/>
    </row>
    <row r="804" spans="10:10" ht="13.2">
      <c r="J804" s="43"/>
    </row>
    <row r="805" spans="10:10" ht="13.2">
      <c r="J805" s="43"/>
    </row>
    <row r="806" spans="10:10" ht="13.2">
      <c r="J806" s="43"/>
    </row>
    <row r="807" spans="10:10" ht="13.2">
      <c r="J807" s="43"/>
    </row>
    <row r="808" spans="10:10" ht="13.2">
      <c r="J808" s="43"/>
    </row>
    <row r="809" spans="10:10" ht="13.2">
      <c r="J809" s="43"/>
    </row>
    <row r="810" spans="10:10" ht="13.2">
      <c r="J810" s="43"/>
    </row>
    <row r="811" spans="10:10" ht="13.2">
      <c r="J811" s="43"/>
    </row>
    <row r="812" spans="10:10" ht="13.2">
      <c r="J812" s="43"/>
    </row>
    <row r="813" spans="10:10" ht="13.2">
      <c r="J813" s="43"/>
    </row>
    <row r="814" spans="10:10" ht="13.2">
      <c r="J814" s="43"/>
    </row>
    <row r="815" spans="10:10" ht="13.2">
      <c r="J815" s="43"/>
    </row>
    <row r="816" spans="10:10" ht="13.2">
      <c r="J816" s="43"/>
    </row>
    <row r="817" spans="10:10" ht="13.2">
      <c r="J817" s="43"/>
    </row>
    <row r="818" spans="10:10" ht="13.2">
      <c r="J818" s="43"/>
    </row>
    <row r="819" spans="10:10" ht="13.2">
      <c r="J819" s="43"/>
    </row>
    <row r="820" spans="10:10" ht="13.2">
      <c r="J820" s="43"/>
    </row>
    <row r="821" spans="10:10" ht="13.2">
      <c r="J821" s="43"/>
    </row>
    <row r="822" spans="10:10" ht="13.2">
      <c r="J822" s="43"/>
    </row>
    <row r="823" spans="10:10" ht="13.2">
      <c r="J823" s="43"/>
    </row>
    <row r="824" spans="10:10" ht="13.2">
      <c r="J824" s="43"/>
    </row>
    <row r="825" spans="10:10" ht="13.2">
      <c r="J825" s="43"/>
    </row>
    <row r="826" spans="10:10" ht="13.2">
      <c r="J826" s="43"/>
    </row>
    <row r="827" spans="10:10" ht="13.2">
      <c r="J827" s="43"/>
    </row>
    <row r="828" spans="10:10" ht="13.2">
      <c r="J828" s="43"/>
    </row>
    <row r="829" spans="10:10" ht="13.2">
      <c r="J829" s="43"/>
    </row>
    <row r="830" spans="10:10" ht="13.2">
      <c r="J830" s="43"/>
    </row>
    <row r="831" spans="10:10" ht="13.2">
      <c r="J831" s="43"/>
    </row>
    <row r="832" spans="10:10" ht="13.2">
      <c r="J832" s="43"/>
    </row>
    <row r="833" spans="10:10" ht="13.2">
      <c r="J833" s="43"/>
    </row>
    <row r="834" spans="10:10" ht="13.2">
      <c r="J834" s="43"/>
    </row>
    <row r="835" spans="10:10" ht="13.2">
      <c r="J835" s="43"/>
    </row>
    <row r="836" spans="10:10" ht="13.2">
      <c r="J836" s="43"/>
    </row>
    <row r="837" spans="10:10" ht="13.2">
      <c r="J837" s="43"/>
    </row>
    <row r="838" spans="10:10" ht="13.2">
      <c r="J838" s="43"/>
    </row>
    <row r="839" spans="10:10" ht="13.2">
      <c r="J839" s="43"/>
    </row>
    <row r="840" spans="10:10" ht="13.2">
      <c r="J840" s="43"/>
    </row>
    <row r="841" spans="10:10" ht="13.2">
      <c r="J841" s="43"/>
    </row>
    <row r="842" spans="10:10" ht="13.2">
      <c r="J842" s="43"/>
    </row>
    <row r="843" spans="10:10" ht="13.2">
      <c r="J843" s="43"/>
    </row>
    <row r="844" spans="10:10" ht="13.2">
      <c r="J844" s="43"/>
    </row>
    <row r="845" spans="10:10" ht="13.2">
      <c r="J845" s="43"/>
    </row>
    <row r="846" spans="10:10" ht="13.2">
      <c r="J846" s="43"/>
    </row>
    <row r="847" spans="10:10" ht="13.2">
      <c r="J847" s="43"/>
    </row>
    <row r="848" spans="10:10" ht="13.2">
      <c r="J848" s="43"/>
    </row>
    <row r="849" spans="10:10" ht="13.2">
      <c r="J849" s="43"/>
    </row>
    <row r="850" spans="10:10" ht="13.2">
      <c r="J850" s="43"/>
    </row>
    <row r="851" spans="10:10" ht="13.2">
      <c r="J851" s="43"/>
    </row>
    <row r="852" spans="10:10" ht="13.2">
      <c r="J852" s="43"/>
    </row>
    <row r="853" spans="10:10" ht="13.2">
      <c r="J853" s="43"/>
    </row>
    <row r="854" spans="10:10" ht="13.2">
      <c r="J854" s="43"/>
    </row>
    <row r="855" spans="10:10" ht="13.2">
      <c r="J855" s="43"/>
    </row>
    <row r="856" spans="10:10" ht="13.2">
      <c r="J856" s="43"/>
    </row>
    <row r="857" spans="10:10" ht="13.2">
      <c r="J857" s="43"/>
    </row>
    <row r="858" spans="10:10" ht="13.2">
      <c r="J858" s="43"/>
    </row>
    <row r="859" spans="10:10" ht="13.2">
      <c r="J859" s="43"/>
    </row>
    <row r="860" spans="10:10" ht="13.2">
      <c r="J860" s="43"/>
    </row>
    <row r="861" spans="10:10" ht="13.2">
      <c r="J861" s="43"/>
    </row>
    <row r="862" spans="10:10" ht="13.2">
      <c r="J862" s="43"/>
    </row>
    <row r="863" spans="10:10" ht="13.2">
      <c r="J863" s="43"/>
    </row>
    <row r="864" spans="10:10" ht="13.2">
      <c r="J864" s="43"/>
    </row>
    <row r="865" spans="10:10" ht="13.2">
      <c r="J865" s="43"/>
    </row>
    <row r="866" spans="10:10" ht="13.2">
      <c r="J866" s="43"/>
    </row>
    <row r="867" spans="10:10" ht="13.2">
      <c r="J867" s="43"/>
    </row>
    <row r="868" spans="10:10" ht="13.2">
      <c r="J868" s="43"/>
    </row>
    <row r="869" spans="10:10" ht="13.2">
      <c r="J869" s="43"/>
    </row>
    <row r="870" spans="10:10" ht="13.2">
      <c r="J870" s="43"/>
    </row>
    <row r="871" spans="10:10" ht="13.2">
      <c r="J871" s="43"/>
    </row>
    <row r="872" spans="10:10" ht="13.2">
      <c r="J872" s="43"/>
    </row>
    <row r="873" spans="10:10" ht="13.2">
      <c r="J873" s="43"/>
    </row>
    <row r="874" spans="10:10" ht="13.2">
      <c r="J874" s="43"/>
    </row>
    <row r="875" spans="10:10" ht="13.2">
      <c r="J875" s="43"/>
    </row>
    <row r="876" spans="10:10" ht="13.2">
      <c r="J876" s="43"/>
    </row>
    <row r="877" spans="10:10" ht="13.2">
      <c r="J877" s="43"/>
    </row>
    <row r="878" spans="10:10" ht="13.2">
      <c r="J878" s="43"/>
    </row>
    <row r="879" spans="10:10" ht="13.2">
      <c r="J879" s="43"/>
    </row>
    <row r="880" spans="10:10" ht="13.2">
      <c r="J880" s="43"/>
    </row>
    <row r="881" spans="10:10" ht="13.2">
      <c r="J881" s="43"/>
    </row>
    <row r="882" spans="10:10" ht="13.2">
      <c r="J882" s="43"/>
    </row>
    <row r="883" spans="10:10" ht="13.2">
      <c r="J883" s="43"/>
    </row>
    <row r="884" spans="10:10" ht="13.2">
      <c r="J884" s="43"/>
    </row>
    <row r="885" spans="10:10" ht="13.2">
      <c r="J885" s="43"/>
    </row>
    <row r="886" spans="10:10" ht="13.2">
      <c r="J886" s="43"/>
    </row>
    <row r="887" spans="10:10" ht="13.2">
      <c r="J887" s="43"/>
    </row>
    <row r="888" spans="10:10" ht="13.2">
      <c r="J888" s="43"/>
    </row>
    <row r="889" spans="10:10" ht="13.2">
      <c r="J889" s="43"/>
    </row>
    <row r="890" spans="10:10" ht="13.2">
      <c r="J890" s="43"/>
    </row>
    <row r="891" spans="10:10" ht="13.2">
      <c r="J891" s="43"/>
    </row>
    <row r="892" spans="10:10" ht="13.2">
      <c r="J892" s="43"/>
    </row>
    <row r="893" spans="10:10" ht="13.2">
      <c r="J893" s="43"/>
    </row>
    <row r="894" spans="10:10" ht="13.2">
      <c r="J894" s="43"/>
    </row>
    <row r="895" spans="10:10" ht="13.2">
      <c r="J895" s="43"/>
    </row>
    <row r="896" spans="10:10" ht="13.2">
      <c r="J896" s="43"/>
    </row>
    <row r="897" spans="10:10" ht="13.2">
      <c r="J897" s="43"/>
    </row>
    <row r="898" spans="10:10" ht="13.2">
      <c r="J898" s="43"/>
    </row>
    <row r="899" spans="10:10" ht="13.2">
      <c r="J899" s="43"/>
    </row>
    <row r="900" spans="10:10" ht="13.2">
      <c r="J900" s="43"/>
    </row>
    <row r="901" spans="10:10" ht="13.2">
      <c r="J901" s="43"/>
    </row>
    <row r="902" spans="10:10" ht="13.2">
      <c r="J902" s="43"/>
    </row>
    <row r="903" spans="10:10" ht="13.2">
      <c r="J903" s="43"/>
    </row>
    <row r="904" spans="10:10" ht="13.2">
      <c r="J904" s="43"/>
    </row>
    <row r="905" spans="10:10" ht="13.2">
      <c r="J905" s="43"/>
    </row>
    <row r="906" spans="10:10" ht="13.2">
      <c r="J906" s="43"/>
    </row>
    <row r="907" spans="10:10" ht="13.2">
      <c r="J907" s="43"/>
    </row>
    <row r="908" spans="10:10" ht="13.2">
      <c r="J908" s="43"/>
    </row>
    <row r="909" spans="10:10" ht="13.2">
      <c r="J909" s="43"/>
    </row>
    <row r="910" spans="10:10" ht="13.2">
      <c r="J910" s="43"/>
    </row>
    <row r="911" spans="10:10" ht="13.2">
      <c r="J911" s="43"/>
    </row>
    <row r="912" spans="10:10" ht="13.2">
      <c r="J912" s="43"/>
    </row>
    <row r="913" spans="10:10" ht="13.2">
      <c r="J913" s="43"/>
    </row>
    <row r="914" spans="10:10" ht="13.2">
      <c r="J914" s="43"/>
    </row>
    <row r="915" spans="10:10" ht="13.2">
      <c r="J915" s="43"/>
    </row>
    <row r="916" spans="10:10" ht="13.2">
      <c r="J916" s="43"/>
    </row>
    <row r="917" spans="10:10" ht="13.2">
      <c r="J917" s="43"/>
    </row>
    <row r="918" spans="10:10" ht="13.2">
      <c r="J918" s="43"/>
    </row>
    <row r="919" spans="10:10" ht="13.2">
      <c r="J919" s="43"/>
    </row>
    <row r="920" spans="10:10" ht="13.2">
      <c r="J920" s="43"/>
    </row>
    <row r="921" spans="10:10" ht="13.2">
      <c r="J921" s="43"/>
    </row>
    <row r="922" spans="10:10" ht="13.2">
      <c r="J922" s="43"/>
    </row>
    <row r="923" spans="10:10" ht="13.2">
      <c r="J923" s="43"/>
    </row>
    <row r="924" spans="10:10" ht="13.2">
      <c r="J924" s="43"/>
    </row>
    <row r="925" spans="10:10" ht="13.2">
      <c r="J925" s="43"/>
    </row>
    <row r="926" spans="10:10" ht="13.2">
      <c r="J926" s="43"/>
    </row>
    <row r="927" spans="10:10" ht="13.2">
      <c r="J927" s="43"/>
    </row>
    <row r="928" spans="10:10" ht="13.2">
      <c r="J928" s="43"/>
    </row>
    <row r="929" spans="10:10" ht="13.2">
      <c r="J929" s="43"/>
    </row>
    <row r="930" spans="10:10" ht="13.2">
      <c r="J930" s="43"/>
    </row>
    <row r="931" spans="10:10" ht="13.2">
      <c r="J931" s="43"/>
    </row>
    <row r="932" spans="10:10" ht="13.2">
      <c r="J932" s="43"/>
    </row>
    <row r="933" spans="10:10" ht="13.2">
      <c r="J933" s="43"/>
    </row>
    <row r="934" spans="10:10" ht="13.2">
      <c r="J934" s="43"/>
    </row>
    <row r="935" spans="10:10" ht="13.2">
      <c r="J935" s="43"/>
    </row>
    <row r="936" spans="10:10" ht="13.2">
      <c r="J936" s="43"/>
    </row>
    <row r="937" spans="10:10" ht="13.2">
      <c r="J937" s="43"/>
    </row>
    <row r="938" spans="10:10" ht="13.2">
      <c r="J938" s="43"/>
    </row>
    <row r="939" spans="10:10" ht="13.2">
      <c r="J939" s="43"/>
    </row>
    <row r="940" spans="10:10" ht="13.2">
      <c r="J940" s="43"/>
    </row>
    <row r="941" spans="10:10" ht="13.2">
      <c r="J941" s="43"/>
    </row>
    <row r="942" spans="10:10" ht="13.2">
      <c r="J942" s="43"/>
    </row>
    <row r="943" spans="10:10" ht="13.2">
      <c r="J943" s="43"/>
    </row>
    <row r="944" spans="10:10" ht="13.2">
      <c r="J944" s="43"/>
    </row>
    <row r="945" spans="10:10" ht="13.2">
      <c r="J945" s="43"/>
    </row>
    <row r="946" spans="10:10" ht="13.2">
      <c r="J946" s="43"/>
    </row>
    <row r="947" spans="10:10" ht="13.2">
      <c r="J947" s="43"/>
    </row>
    <row r="948" spans="10:10" ht="13.2">
      <c r="J948" s="43"/>
    </row>
    <row r="949" spans="10:10" ht="13.2">
      <c r="J949" s="43"/>
    </row>
    <row r="950" spans="10:10" ht="13.2">
      <c r="J950" s="43"/>
    </row>
    <row r="951" spans="10:10" ht="13.2">
      <c r="J951" s="43"/>
    </row>
    <row r="952" spans="10:10" ht="13.2">
      <c r="J952" s="43"/>
    </row>
    <row r="953" spans="10:10" ht="13.2">
      <c r="J953" s="43"/>
    </row>
    <row r="954" spans="10:10" ht="13.2">
      <c r="J954" s="43"/>
    </row>
    <row r="955" spans="10:10" ht="13.2">
      <c r="J955" s="43"/>
    </row>
    <row r="956" spans="10:10" ht="13.2">
      <c r="J956" s="43"/>
    </row>
    <row r="957" spans="10:10" ht="13.2">
      <c r="J957" s="43"/>
    </row>
    <row r="958" spans="10:10" ht="13.2">
      <c r="J958" s="43"/>
    </row>
    <row r="959" spans="10:10" ht="13.2">
      <c r="J959" s="43"/>
    </row>
    <row r="960" spans="10:10" ht="13.2">
      <c r="J960" s="43"/>
    </row>
    <row r="961" spans="10:10" ht="13.2">
      <c r="J961" s="43"/>
    </row>
    <row r="962" spans="10:10" ht="13.2">
      <c r="J962" s="43"/>
    </row>
    <row r="963" spans="10:10" ht="13.2">
      <c r="J963" s="43"/>
    </row>
    <row r="964" spans="10:10" ht="13.2">
      <c r="J964" s="43"/>
    </row>
    <row r="965" spans="10:10" ht="13.2">
      <c r="J965" s="43"/>
    </row>
    <row r="966" spans="10:10" ht="13.2">
      <c r="J966" s="43"/>
    </row>
    <row r="967" spans="10:10" ht="13.2">
      <c r="J967" s="43"/>
    </row>
    <row r="968" spans="10:10" ht="13.2">
      <c r="J968" s="43"/>
    </row>
    <row r="969" spans="10:10" ht="13.2">
      <c r="J969" s="43"/>
    </row>
    <row r="970" spans="10:10" ht="13.2">
      <c r="J970" s="43"/>
    </row>
    <row r="971" spans="10:10" ht="13.2">
      <c r="J971" s="43"/>
    </row>
    <row r="972" spans="10:10" ht="13.2">
      <c r="J972" s="43"/>
    </row>
    <row r="973" spans="10:10" ht="13.2">
      <c r="J973" s="43"/>
    </row>
    <row r="974" spans="10:10" ht="13.2">
      <c r="J974" s="43"/>
    </row>
    <row r="975" spans="10:10" ht="13.2">
      <c r="J975" s="43"/>
    </row>
    <row r="976" spans="10:10" ht="13.2">
      <c r="J976" s="43"/>
    </row>
    <row r="977" spans="10:10" ht="13.2">
      <c r="J977" s="43"/>
    </row>
    <row r="978" spans="10:10" ht="13.2">
      <c r="J978" s="43"/>
    </row>
    <row r="979" spans="10:10" ht="13.2">
      <c r="J979" s="43"/>
    </row>
    <row r="980" spans="10:10" ht="13.2">
      <c r="J980" s="43"/>
    </row>
    <row r="981" spans="10:10" ht="13.2">
      <c r="J981" s="43"/>
    </row>
    <row r="982" spans="10:10" ht="13.2">
      <c r="J982" s="43"/>
    </row>
    <row r="983" spans="10:10" ht="13.2">
      <c r="J983" s="43"/>
    </row>
    <row r="984" spans="10:10" ht="13.2">
      <c r="J984" s="43"/>
    </row>
    <row r="985" spans="10:10" ht="13.2">
      <c r="J985" s="43"/>
    </row>
    <row r="986" spans="10:10" ht="13.2">
      <c r="J986" s="43"/>
    </row>
    <row r="987" spans="10:10" ht="13.2">
      <c r="J987" s="43"/>
    </row>
    <row r="988" spans="10:10" ht="13.2">
      <c r="J988" s="43"/>
    </row>
    <row r="989" spans="10:10" ht="13.2">
      <c r="J989" s="43"/>
    </row>
    <row r="990" spans="10:10" ht="13.2">
      <c r="J990" s="43"/>
    </row>
    <row r="991" spans="10:10" ht="13.2">
      <c r="J991" s="43"/>
    </row>
    <row r="992" spans="10:10" ht="13.2">
      <c r="J992" s="43"/>
    </row>
    <row r="993" spans="10:10" ht="13.2">
      <c r="J993" s="43"/>
    </row>
    <row r="994" spans="10:10" ht="13.2">
      <c r="J994" s="43"/>
    </row>
    <row r="995" spans="10:10" ht="13.2">
      <c r="J995" s="43"/>
    </row>
    <row r="996" spans="10:10" ht="13.2">
      <c r="J996" s="43"/>
    </row>
    <row r="997" spans="10:10" ht="13.2">
      <c r="J997" s="43"/>
    </row>
    <row r="998" spans="10:10" ht="13.2">
      <c r="J998" s="43"/>
    </row>
    <row r="999" spans="10:10" ht="13.2">
      <c r="J999" s="43"/>
    </row>
    <row r="1000" spans="10:10" ht="13.2">
      <c r="J1000" s="43"/>
    </row>
    <row r="1001" spans="10:10" ht="13.2">
      <c r="J1001" s="43"/>
    </row>
    <row r="1002" spans="10:10" ht="13.2">
      <c r="J1002" s="43"/>
    </row>
    <row r="1003" spans="10:10" ht="13.2">
      <c r="J1003" s="43"/>
    </row>
    <row r="1004" spans="10:10" ht="13.2">
      <c r="J1004" s="43"/>
    </row>
    <row r="1005" spans="10:10" ht="13.2">
      <c r="J1005" s="43"/>
    </row>
    <row r="1006" spans="10:10" ht="13.2">
      <c r="J1006" s="43"/>
    </row>
    <row r="1007" spans="10:10" ht="13.2">
      <c r="J1007" s="43"/>
    </row>
    <row r="1008" spans="10:10" ht="13.2">
      <c r="J1008" s="43"/>
    </row>
    <row r="1009" spans="10:10" ht="13.2">
      <c r="J1009" s="43"/>
    </row>
    <row r="1010" spans="10:10" ht="13.2">
      <c r="J1010" s="43"/>
    </row>
    <row r="1011" spans="10:10" ht="13.2">
      <c r="J1011" s="43"/>
    </row>
    <row r="1012" spans="10:10" ht="13.2">
      <c r="J1012" s="43"/>
    </row>
    <row r="1013" spans="10:10" ht="13.2">
      <c r="J1013" s="43"/>
    </row>
    <row r="1014" spans="10:10" ht="13.2">
      <c r="J1014" s="43"/>
    </row>
    <row r="1015" spans="10:10" ht="13.2">
      <c r="J1015" s="43"/>
    </row>
    <row r="1016" spans="10:10" ht="13.2">
      <c r="J1016" s="43"/>
    </row>
    <row r="1017" spans="10:10" ht="13.2">
      <c r="J1017" s="43"/>
    </row>
    <row r="1018" spans="10:10" ht="13.2">
      <c r="J1018" s="43"/>
    </row>
    <row r="1019" spans="10:10" ht="13.2">
      <c r="J1019" s="43"/>
    </row>
    <row r="1020" spans="10:10" ht="13.2">
      <c r="J1020" s="43"/>
    </row>
    <row r="1021" spans="10:10" ht="13.2">
      <c r="J1021" s="43"/>
    </row>
    <row r="1022" spans="10:10" ht="13.2">
      <c r="J1022" s="43"/>
    </row>
    <row r="1023" spans="10:10" ht="13.2">
      <c r="J1023" s="43"/>
    </row>
    <row r="1024" spans="10:10" ht="13.2">
      <c r="J1024" s="43"/>
    </row>
    <row r="1025" spans="10:10" ht="13.2">
      <c r="J1025" s="43"/>
    </row>
    <row r="1026" spans="10:10" ht="13.2">
      <c r="J1026" s="43"/>
    </row>
  </sheetData>
  <phoneticPr fontId="69" type="noConversion"/>
  <pageMargins left="0.7" right="0.7" top="0.75" bottom="0.75" header="0.3" footer="0.3"/>
  <drawing r:id="rId1"/>
  <legacyDrawing r:id="rId2"/>
  <tableParts count="1">
    <tablePart r:id="rId3"/>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W135"/>
  <sheetViews>
    <sheetView workbookViewId="0"/>
  </sheetViews>
  <sheetFormatPr defaultColWidth="12.6640625" defaultRowHeight="15.75" customHeight="1"/>
  <cols>
    <col min="2" max="2" width="17.88671875" customWidth="1"/>
    <col min="3" max="4" width="21.77734375" customWidth="1"/>
    <col min="5" max="6" width="20.21875" customWidth="1"/>
    <col min="7" max="7" width="23.21875" customWidth="1"/>
    <col min="8" max="8" width="21.77734375" customWidth="1"/>
    <col min="9" max="9" width="21.21875" customWidth="1"/>
    <col min="10" max="10" width="18.6640625" customWidth="1"/>
    <col min="11" max="11" width="15.6640625" customWidth="1"/>
    <col min="12" max="12" width="17.33203125" customWidth="1"/>
    <col min="13" max="13" width="16.44140625" customWidth="1"/>
    <col min="14" max="14" width="18.44140625" customWidth="1"/>
    <col min="15" max="15" width="14.6640625" customWidth="1"/>
    <col min="18" max="18" width="16.109375" customWidth="1"/>
    <col min="19" max="19" width="17.6640625" customWidth="1"/>
  </cols>
  <sheetData>
    <row r="1" spans="1:23" ht="13.2">
      <c r="I1" s="189"/>
      <c r="J1" s="189"/>
    </row>
    <row r="2" spans="1:23" ht="13.2">
      <c r="E2" s="47"/>
      <c r="F2" s="47"/>
      <c r="I2" s="189"/>
      <c r="J2" s="189"/>
    </row>
    <row r="3" spans="1:23" ht="13.8">
      <c r="F3" s="190"/>
      <c r="H3" s="190"/>
      <c r="I3" s="189"/>
      <c r="J3" s="189"/>
    </row>
    <row r="4" spans="1:23" ht="22.5" customHeight="1">
      <c r="B4" s="191" t="s">
        <v>37</v>
      </c>
      <c r="C4" s="192">
        <v>2022</v>
      </c>
      <c r="D4" s="192">
        <v>2023</v>
      </c>
      <c r="E4" s="192">
        <v>2024</v>
      </c>
      <c r="F4" s="193" t="s">
        <v>659</v>
      </c>
      <c r="G4" s="194" t="s">
        <v>660</v>
      </c>
      <c r="H4" s="194" t="s">
        <v>661</v>
      </c>
      <c r="I4" s="194" t="s">
        <v>662</v>
      </c>
      <c r="J4" s="189"/>
      <c r="K4" s="26" t="s">
        <v>592</v>
      </c>
      <c r="L4" s="26" t="s">
        <v>663</v>
      </c>
      <c r="M4" s="26" t="s">
        <v>664</v>
      </c>
      <c r="N4" s="26" t="s">
        <v>665</v>
      </c>
    </row>
    <row r="5" spans="1:23" ht="22.5" customHeight="1">
      <c r="B5" s="195" t="s">
        <v>593</v>
      </c>
      <c r="C5" s="196">
        <v>4216263000000</v>
      </c>
      <c r="D5" s="196">
        <v>5818007000000</v>
      </c>
      <c r="E5" s="196">
        <v>8675613000000</v>
      </c>
      <c r="F5" s="197">
        <v>7839300000000</v>
      </c>
      <c r="G5" s="198">
        <f t="shared" ref="G5:I5" si="0">C27</f>
        <v>7903627689473.6855</v>
      </c>
      <c r="H5" s="198">
        <f t="shared" si="0"/>
        <v>10560492615789.475</v>
      </c>
      <c r="I5" s="198">
        <f t="shared" si="0"/>
        <v>13802809882000</v>
      </c>
      <c r="J5" s="189"/>
      <c r="K5" s="36" t="s">
        <v>593</v>
      </c>
      <c r="L5" s="37">
        <f t="shared" ref="L5:N5" si="1">G5/G10</f>
        <v>0.74781333512058201</v>
      </c>
      <c r="M5" s="37">
        <f t="shared" si="1"/>
        <v>0.77838220768695532</v>
      </c>
      <c r="N5" s="37">
        <f t="shared" si="1"/>
        <v>0.80793202862430979</v>
      </c>
      <c r="O5" s="33"/>
      <c r="T5" s="199"/>
    </row>
    <row r="6" spans="1:23" ht="22.5" customHeight="1">
      <c r="B6" s="200" t="s">
        <v>666</v>
      </c>
      <c r="C6" s="196">
        <v>705619000000</v>
      </c>
      <c r="D6" s="196">
        <v>1860540000000</v>
      </c>
      <c r="E6" s="197">
        <v>2480383000000</v>
      </c>
      <c r="F6" s="197">
        <v>2030200000000</v>
      </c>
      <c r="G6" s="201">
        <f t="shared" ref="G6:I6" si="2">E48</f>
        <v>2665357000000</v>
      </c>
      <c r="H6" s="202">
        <f t="shared" si="2"/>
        <v>3006740180000</v>
      </c>
      <c r="I6" s="201">
        <f t="shared" si="2"/>
        <v>3281312783000</v>
      </c>
      <c r="J6" s="189"/>
      <c r="K6" s="36" t="s">
        <v>667</v>
      </c>
      <c r="L6" s="37">
        <v>4.5900000000000003E-2</v>
      </c>
      <c r="M6" s="37">
        <v>0</v>
      </c>
      <c r="N6" s="37">
        <v>0</v>
      </c>
      <c r="O6" s="33"/>
      <c r="T6" s="346"/>
    </row>
    <row r="7" spans="1:23" ht="22.5" customHeight="1">
      <c r="A7" s="203"/>
      <c r="B7" s="204" t="s">
        <v>595</v>
      </c>
      <c r="C7" s="204"/>
      <c r="D7" s="204"/>
      <c r="E7" s="204"/>
      <c r="F7" s="204"/>
      <c r="G7" s="204"/>
      <c r="H7" s="204"/>
      <c r="I7" s="204"/>
      <c r="J7" s="189"/>
      <c r="K7" s="36" t="s">
        <v>595</v>
      </c>
      <c r="L7" s="37">
        <v>4.5900000000000003E-2</v>
      </c>
      <c r="M7" s="37">
        <v>0</v>
      </c>
      <c r="N7" s="37">
        <v>0</v>
      </c>
      <c r="T7" s="343"/>
    </row>
    <row r="8" spans="1:23" ht="22.5" customHeight="1">
      <c r="B8" s="204" t="s">
        <v>596</v>
      </c>
      <c r="C8" s="204"/>
      <c r="D8" s="204"/>
      <c r="E8" s="204"/>
      <c r="F8" s="204"/>
      <c r="G8" s="204"/>
      <c r="H8" s="204"/>
      <c r="I8" s="204"/>
      <c r="J8" s="189"/>
      <c r="K8" s="36" t="s">
        <v>582</v>
      </c>
      <c r="L8" s="37">
        <v>4.5900000000000003E-2</v>
      </c>
      <c r="M8" s="37">
        <v>0</v>
      </c>
      <c r="N8" s="37">
        <v>0</v>
      </c>
      <c r="R8" s="33"/>
      <c r="S8" s="347"/>
      <c r="T8" s="347"/>
    </row>
    <row r="9" spans="1:23" ht="15">
      <c r="B9" s="204" t="s">
        <v>668</v>
      </c>
      <c r="C9" s="197">
        <v>-61732000000</v>
      </c>
      <c r="D9" s="197">
        <v>-270235000000</v>
      </c>
      <c r="E9" s="197">
        <v>-379991000000</v>
      </c>
      <c r="F9" s="197">
        <v>-408800000000</v>
      </c>
      <c r="G9" s="197"/>
      <c r="H9" s="197"/>
      <c r="I9" s="198"/>
      <c r="J9" s="189"/>
      <c r="R9" s="33"/>
      <c r="S9" s="343"/>
      <c r="T9" s="343"/>
      <c r="U9" s="199"/>
      <c r="V9" s="199"/>
      <c r="W9" s="199"/>
    </row>
    <row r="10" spans="1:23" ht="15.6">
      <c r="B10" s="204" t="s">
        <v>669</v>
      </c>
      <c r="C10" s="205">
        <f>SUM(C5:C9)</f>
        <v>4860150000000</v>
      </c>
      <c r="D10" s="206">
        <v>7408312000000</v>
      </c>
      <c r="E10" s="206">
        <f t="shared" ref="E10:I10" si="3">SUM(E5:E9)</f>
        <v>10776005000000</v>
      </c>
      <c r="F10" s="197">
        <f t="shared" si="3"/>
        <v>9460700000000</v>
      </c>
      <c r="G10" s="207">
        <f t="shared" si="3"/>
        <v>10568984689473.686</v>
      </c>
      <c r="H10" s="207">
        <f t="shared" si="3"/>
        <v>13567232795789.475</v>
      </c>
      <c r="I10" s="207">
        <f t="shared" si="3"/>
        <v>17084122665000</v>
      </c>
      <c r="J10" s="189"/>
      <c r="R10" s="33"/>
      <c r="S10" s="199"/>
      <c r="T10" s="199"/>
      <c r="U10" s="199"/>
      <c r="V10" s="199"/>
      <c r="W10" s="199"/>
    </row>
    <row r="11" spans="1:23" ht="15.6">
      <c r="B11" s="208"/>
      <c r="C11" s="47"/>
      <c r="D11" s="47"/>
      <c r="E11" s="47"/>
      <c r="F11" s="47"/>
      <c r="G11" s="208"/>
      <c r="I11" s="189"/>
      <c r="J11" s="189"/>
      <c r="R11" s="33"/>
      <c r="S11" s="199"/>
      <c r="T11" s="199"/>
    </row>
    <row r="12" spans="1:23" ht="15.6">
      <c r="I12" s="189"/>
      <c r="J12" s="189"/>
      <c r="L12" s="209"/>
      <c r="M12" s="47"/>
      <c r="N12" s="47"/>
      <c r="R12" s="33"/>
      <c r="S12" s="199"/>
      <c r="T12" s="199"/>
    </row>
    <row r="13" spans="1:23" ht="15.6">
      <c r="B13" s="210" t="s">
        <v>670</v>
      </c>
      <c r="C13" s="193">
        <v>2021</v>
      </c>
      <c r="D13" s="193">
        <v>2022</v>
      </c>
      <c r="E13" s="193">
        <v>2023</v>
      </c>
      <c r="F13" s="211">
        <v>2024</v>
      </c>
      <c r="G13" s="193" t="s">
        <v>659</v>
      </c>
      <c r="H13" s="212" t="s">
        <v>660</v>
      </c>
      <c r="I13" s="213" t="s">
        <v>671</v>
      </c>
      <c r="J13" s="214"/>
      <c r="K13" s="215" t="s">
        <v>672</v>
      </c>
      <c r="L13" s="216">
        <v>2021</v>
      </c>
      <c r="M13" s="216">
        <v>2022</v>
      </c>
      <c r="N13" s="216">
        <v>2023</v>
      </c>
      <c r="O13" s="216">
        <v>2024</v>
      </c>
      <c r="P13" s="216" t="s">
        <v>673</v>
      </c>
    </row>
    <row r="14" spans="1:23" ht="15.6">
      <c r="B14" s="217" t="s">
        <v>674</v>
      </c>
      <c r="C14" s="39">
        <v>1215700000000</v>
      </c>
      <c r="D14" s="197">
        <v>0</v>
      </c>
      <c r="E14" s="197">
        <v>0</v>
      </c>
      <c r="F14" s="197">
        <v>1404000000000</v>
      </c>
      <c r="G14" s="218">
        <v>2183930000000</v>
      </c>
      <c r="H14" s="197">
        <f>20*H23</f>
        <v>3698600000000</v>
      </c>
      <c r="I14" s="219">
        <f>20*H23</f>
        <v>3698600000000</v>
      </c>
      <c r="J14" s="219"/>
      <c r="K14" s="217" t="s">
        <v>674</v>
      </c>
      <c r="L14" s="220">
        <v>11</v>
      </c>
      <c r="M14" s="220">
        <v>0</v>
      </c>
      <c r="N14" s="220">
        <v>0</v>
      </c>
      <c r="O14" s="220">
        <v>8</v>
      </c>
      <c r="P14" s="220">
        <v>12</v>
      </c>
    </row>
    <row r="15" spans="1:23" ht="15">
      <c r="B15" s="217" t="s">
        <v>472</v>
      </c>
      <c r="C15" s="39">
        <v>3549500000000</v>
      </c>
      <c r="D15" s="197">
        <v>10852000000000</v>
      </c>
      <c r="E15" s="221">
        <v>1663200000000</v>
      </c>
      <c r="F15" s="197">
        <v>6434200000000</v>
      </c>
      <c r="G15" s="222">
        <v>2132220000000</v>
      </c>
      <c r="H15" s="223">
        <v>4720500000000</v>
      </c>
      <c r="I15" s="224">
        <f>81/3*H24</f>
        <v>9608269410000</v>
      </c>
      <c r="J15" s="219"/>
      <c r="K15" s="217" t="s">
        <v>472</v>
      </c>
      <c r="L15" s="220">
        <v>15</v>
      </c>
      <c r="M15" s="220">
        <v>38</v>
      </c>
      <c r="N15" s="220">
        <v>5</v>
      </c>
      <c r="O15" s="220">
        <v>19</v>
      </c>
      <c r="P15" s="220">
        <v>6</v>
      </c>
    </row>
    <row r="16" spans="1:23" ht="15">
      <c r="B16" s="217" t="s">
        <v>561</v>
      </c>
      <c r="C16" s="39">
        <v>3148750000000</v>
      </c>
      <c r="D16" s="197">
        <v>1409000000000</v>
      </c>
      <c r="E16" s="197">
        <v>0</v>
      </c>
      <c r="F16" s="197">
        <v>1717700000000</v>
      </c>
      <c r="G16" s="197">
        <v>4264440000000</v>
      </c>
      <c r="H16" s="197">
        <v>5332900000000</v>
      </c>
      <c r="I16" s="198">
        <f>10*H25</f>
        <v>3106680000000</v>
      </c>
      <c r="J16" s="225"/>
      <c r="K16" s="217" t="s">
        <v>561</v>
      </c>
      <c r="L16" s="220">
        <v>20</v>
      </c>
      <c r="M16" s="220">
        <v>6</v>
      </c>
      <c r="N16" s="220">
        <v>0</v>
      </c>
      <c r="O16" s="220">
        <v>6</v>
      </c>
      <c r="P16" s="220">
        <v>13</v>
      </c>
    </row>
    <row r="17" spans="1:20" ht="15">
      <c r="B17" s="193" t="s">
        <v>675</v>
      </c>
      <c r="C17" s="39">
        <v>824400000000</v>
      </c>
      <c r="D17" s="197">
        <v>0</v>
      </c>
      <c r="E17" s="221">
        <v>808000000000</v>
      </c>
      <c r="F17" s="197">
        <v>831500000000</v>
      </c>
      <c r="G17" s="197">
        <v>0</v>
      </c>
      <c r="H17" s="1">
        <v>0</v>
      </c>
      <c r="I17" s="197">
        <v>0</v>
      </c>
      <c r="J17" s="226"/>
      <c r="K17" s="193" t="s">
        <v>675</v>
      </c>
      <c r="L17" s="220">
        <v>9</v>
      </c>
      <c r="M17" s="220">
        <v>0</v>
      </c>
      <c r="N17" s="220">
        <v>5</v>
      </c>
      <c r="O17" s="220">
        <v>5</v>
      </c>
      <c r="P17" s="220">
        <v>0</v>
      </c>
    </row>
    <row r="18" spans="1:20" ht="15">
      <c r="B18" s="227" t="s">
        <v>669</v>
      </c>
      <c r="C18" s="197">
        <f>SUM(C14:C17)</f>
        <v>8738350000000</v>
      </c>
      <c r="D18" s="228">
        <f>SUM(D15:D16)</f>
        <v>12261000000000</v>
      </c>
      <c r="E18" s="229">
        <f>SUM(E14:E16)</f>
        <v>1663200000000</v>
      </c>
      <c r="F18" s="229">
        <f t="shared" ref="F18:I18" si="4">SUM(F14:F17)</f>
        <v>10387400000000</v>
      </c>
      <c r="G18" s="197">
        <f t="shared" si="4"/>
        <v>8580590000000</v>
      </c>
      <c r="H18" s="229">
        <f t="shared" si="4"/>
        <v>13752000000000</v>
      </c>
      <c r="I18" s="197">
        <f t="shared" si="4"/>
        <v>16413549410000</v>
      </c>
      <c r="J18" s="226"/>
      <c r="K18" s="227" t="s">
        <v>669</v>
      </c>
      <c r="L18" s="220">
        <f t="shared" ref="L18:P18" si="5">SUM(L14:L17)</f>
        <v>55</v>
      </c>
      <c r="M18" s="220">
        <f t="shared" si="5"/>
        <v>44</v>
      </c>
      <c r="N18" s="220">
        <f t="shared" si="5"/>
        <v>10</v>
      </c>
      <c r="O18" s="220">
        <f t="shared" si="5"/>
        <v>38</v>
      </c>
      <c r="P18" s="220">
        <f t="shared" si="5"/>
        <v>31</v>
      </c>
    </row>
    <row r="19" spans="1:20" ht="15.6">
      <c r="B19" s="204"/>
      <c r="C19" s="195"/>
      <c r="D19" s="195"/>
      <c r="E19" s="195"/>
      <c r="F19" s="195"/>
      <c r="G19" s="195"/>
      <c r="H19" s="230"/>
      <c r="I19" s="195"/>
      <c r="J19" s="195"/>
      <c r="K19" s="231"/>
    </row>
    <row r="20" spans="1:20" ht="15">
      <c r="A20" s="47"/>
      <c r="B20" s="204"/>
      <c r="C20" s="204"/>
      <c r="D20" s="204"/>
      <c r="E20" s="204"/>
      <c r="F20" s="204"/>
      <c r="G20" s="204"/>
      <c r="H20" s="204"/>
      <c r="I20" s="204"/>
      <c r="J20" s="204"/>
    </row>
    <row r="21" spans="1:20" ht="15.6">
      <c r="A21" s="181"/>
      <c r="H21" s="204"/>
      <c r="I21" s="204"/>
      <c r="J21" s="204"/>
    </row>
    <row r="22" spans="1:20" ht="16.2">
      <c r="B22" s="232" t="s">
        <v>676</v>
      </c>
      <c r="C22" s="193" t="s">
        <v>677</v>
      </c>
      <c r="D22" s="233" t="s">
        <v>671</v>
      </c>
      <c r="E22" s="233" t="s">
        <v>678</v>
      </c>
      <c r="G22" s="234" t="s">
        <v>679</v>
      </c>
      <c r="H22" s="192" t="s">
        <v>680</v>
      </c>
      <c r="I22" s="204"/>
      <c r="J22" s="204"/>
    </row>
    <row r="23" spans="1:20" ht="15">
      <c r="B23" s="217" t="s">
        <v>674</v>
      </c>
      <c r="C23" s="197">
        <f>L37+M36+N35</f>
        <v>491399999999.99994</v>
      </c>
      <c r="D23" s="226">
        <f>M37+L38+N36</f>
        <v>2207110000000</v>
      </c>
      <c r="E23" s="197">
        <f>L39+M38+N37</f>
        <v>3698600000000</v>
      </c>
      <c r="G23" s="235" t="s">
        <v>674</v>
      </c>
      <c r="H23" s="39">
        <v>184930000000</v>
      </c>
      <c r="I23" s="204"/>
      <c r="J23" s="236"/>
    </row>
    <row r="24" spans="1:20" ht="15.6">
      <c r="B24" s="217" t="s">
        <v>472</v>
      </c>
      <c r="C24" s="197">
        <f>Q37+R36+E33</f>
        <v>5985537689473.6855</v>
      </c>
      <c r="D24" s="223">
        <f>Q38+R37+S36+F33</f>
        <v>6232982615789.4746</v>
      </c>
      <c r="E24" s="197">
        <f>Q39+R38+S37</f>
        <v>6469218882000</v>
      </c>
      <c r="G24" s="88" t="s">
        <v>472</v>
      </c>
      <c r="H24" s="39">
        <v>355861830000</v>
      </c>
      <c r="I24" s="204"/>
      <c r="J24" s="237"/>
    </row>
    <row r="25" spans="1:20" ht="15.6">
      <c r="B25" s="217" t="s">
        <v>561</v>
      </c>
      <c r="C25" s="197">
        <f>L46+M45+N44</f>
        <v>977590000000</v>
      </c>
      <c r="D25" s="197">
        <f>L47+M46+N45</f>
        <v>1667775000000</v>
      </c>
      <c r="E25" s="197">
        <f>L48+M47+N46</f>
        <v>3260816000000</v>
      </c>
      <c r="G25" s="88" t="s">
        <v>561</v>
      </c>
      <c r="H25" s="39">
        <v>310668000000</v>
      </c>
      <c r="K25" s="238" t="s">
        <v>681</v>
      </c>
      <c r="L25" s="216" t="s">
        <v>682</v>
      </c>
      <c r="M25" s="216" t="s">
        <v>683</v>
      </c>
      <c r="N25" s="216" t="s">
        <v>684</v>
      </c>
      <c r="T25" s="199"/>
    </row>
    <row r="26" spans="1:20" ht="15">
      <c r="B26" s="193" t="s">
        <v>675</v>
      </c>
      <c r="C26" s="197">
        <f>Q46+R45</f>
        <v>449100000000</v>
      </c>
      <c r="D26" s="197">
        <f>Q47+R46+S45</f>
        <v>452625000000</v>
      </c>
      <c r="E26" s="197">
        <f>S46</f>
        <v>374175000000</v>
      </c>
      <c r="G26" s="239" t="s">
        <v>675</v>
      </c>
      <c r="H26" s="204"/>
      <c r="K26" s="216" t="s">
        <v>685</v>
      </c>
      <c r="L26" s="1">
        <v>0.35</v>
      </c>
      <c r="M26" s="1">
        <v>0.65</v>
      </c>
    </row>
    <row r="27" spans="1:20" ht="15">
      <c r="B27" s="227" t="s">
        <v>669</v>
      </c>
      <c r="C27" s="240">
        <f t="shared" ref="C27:E27" si="6">SUM(C23:C26)</f>
        <v>7903627689473.6855</v>
      </c>
      <c r="D27" s="240">
        <f t="shared" si="6"/>
        <v>10560492615789.475</v>
      </c>
      <c r="E27" s="240">
        <f t="shared" si="6"/>
        <v>13802809882000</v>
      </c>
      <c r="K27" s="216" t="s">
        <v>686</v>
      </c>
      <c r="L27" s="1">
        <v>0.2</v>
      </c>
      <c r="M27" s="1">
        <v>0.35</v>
      </c>
      <c r="N27" s="1">
        <v>0.45</v>
      </c>
    </row>
    <row r="28" spans="1:20" ht="13.2">
      <c r="L28" s="47"/>
      <c r="M28" s="47"/>
      <c r="N28" s="47"/>
    </row>
    <row r="29" spans="1:20" ht="13.2">
      <c r="H29" s="41"/>
      <c r="L29" s="1">
        <v>0.1</v>
      </c>
      <c r="M29" s="1">
        <v>0.6</v>
      </c>
      <c r="N29" s="1">
        <v>0.3</v>
      </c>
    </row>
    <row r="30" spans="1:20" ht="13.8">
      <c r="B30" s="241"/>
      <c r="C30" s="241"/>
      <c r="D30" s="241"/>
      <c r="E30" s="241"/>
      <c r="I30" s="1" t="s">
        <v>8</v>
      </c>
      <c r="P30" s="33"/>
      <c r="Q30" s="199"/>
      <c r="R30" s="199"/>
      <c r="S30" s="199"/>
    </row>
    <row r="31" spans="1:20" ht="13.8">
      <c r="B31" s="27" t="s">
        <v>687</v>
      </c>
      <c r="C31" s="27">
        <v>10852000000000</v>
      </c>
      <c r="P31" s="33"/>
      <c r="Q31" s="199"/>
      <c r="R31" s="199"/>
      <c r="S31" s="199"/>
    </row>
    <row r="32" spans="1:20" ht="13.8">
      <c r="B32" s="242">
        <v>2022</v>
      </c>
      <c r="C32" s="242">
        <v>2023</v>
      </c>
      <c r="D32" s="242">
        <v>2024</v>
      </c>
      <c r="E32" s="242">
        <v>2025</v>
      </c>
      <c r="F32" s="242">
        <v>2026</v>
      </c>
      <c r="G32" s="242" t="s">
        <v>645</v>
      </c>
      <c r="K32" s="33"/>
      <c r="L32" s="1" t="s">
        <v>688</v>
      </c>
      <c r="P32" s="33"/>
      <c r="Q32" s="47" t="s">
        <v>688</v>
      </c>
      <c r="R32" s="47"/>
      <c r="S32" s="47"/>
      <c r="T32" s="159"/>
    </row>
    <row r="33" spans="2:20" ht="15">
      <c r="B33" s="39">
        <f t="shared" ref="B33:F33" si="7">$C$31*C36</f>
        <v>2370305263.1578946</v>
      </c>
      <c r="C33" s="39">
        <f t="shared" si="7"/>
        <v>461295673684.21039</v>
      </c>
      <c r="D33" s="39">
        <f t="shared" si="7"/>
        <v>3983283715789.4727</v>
      </c>
      <c r="E33" s="39">
        <f t="shared" si="7"/>
        <v>4116577689473.6851</v>
      </c>
      <c r="F33" s="39">
        <f t="shared" si="7"/>
        <v>2288472615789.4741</v>
      </c>
      <c r="G33" s="39">
        <f>SUM(B33:F33)</f>
        <v>10852000000000</v>
      </c>
      <c r="K33" s="217" t="s">
        <v>674</v>
      </c>
      <c r="L33" s="216" t="s">
        <v>682</v>
      </c>
      <c r="M33" s="216" t="s">
        <v>683</v>
      </c>
      <c r="N33" s="243"/>
      <c r="P33" s="244" t="s">
        <v>472</v>
      </c>
      <c r="Q33" s="245" t="s">
        <v>682</v>
      </c>
      <c r="R33" s="245" t="s">
        <v>683</v>
      </c>
      <c r="S33" s="245" t="s">
        <v>684</v>
      </c>
      <c r="T33" s="159"/>
    </row>
    <row r="34" spans="2:20" ht="13.8">
      <c r="K34" s="1" t="s">
        <v>689</v>
      </c>
      <c r="L34" s="39">
        <f>C14*L26</f>
        <v>425495000000</v>
      </c>
      <c r="M34" s="39">
        <f>C14*M26</f>
        <v>790205000000</v>
      </c>
      <c r="P34" s="1" t="s">
        <v>689</v>
      </c>
      <c r="Q34" s="39">
        <f>C15*L27</f>
        <v>709900000000</v>
      </c>
      <c r="R34" s="39">
        <f>C15*M27</f>
        <v>1242325000000</v>
      </c>
      <c r="S34" s="39">
        <f>C15*N27</f>
        <v>1597275000000</v>
      </c>
      <c r="T34" s="159"/>
    </row>
    <row r="35" spans="2:20" ht="13.8">
      <c r="B35" s="216" t="s">
        <v>690</v>
      </c>
      <c r="C35" s="216" t="s">
        <v>691</v>
      </c>
      <c r="D35" s="216" t="s">
        <v>692</v>
      </c>
      <c r="E35" s="216" t="s">
        <v>693</v>
      </c>
      <c r="F35" s="216" t="s">
        <v>694</v>
      </c>
      <c r="G35" s="216" t="s">
        <v>695</v>
      </c>
      <c r="K35" s="1" t="s">
        <v>696</v>
      </c>
      <c r="L35" s="39">
        <v>0</v>
      </c>
      <c r="M35" s="39">
        <v>0</v>
      </c>
      <c r="P35" s="1" t="s">
        <v>696</v>
      </c>
      <c r="Q35" s="39" t="e">
        <f>B31*L27</f>
        <v>#VALUE!</v>
      </c>
      <c r="R35" s="39" t="e">
        <f>B31*M27</f>
        <v>#VALUE!</v>
      </c>
      <c r="S35" s="39" t="e">
        <f>B31*N27</f>
        <v>#VALUE!</v>
      </c>
      <c r="T35" s="159"/>
    </row>
    <row r="36" spans="2:20" ht="13.2">
      <c r="B36" s="1" t="s">
        <v>681</v>
      </c>
      <c r="C36" s="241">
        <v>2.1842105263157895E-4</v>
      </c>
      <c r="D36" s="241">
        <v>4.2507894736842092E-2</v>
      </c>
      <c r="E36" s="241">
        <v>0.36705526315789466</v>
      </c>
      <c r="F36" s="241">
        <v>0.3793381578947369</v>
      </c>
      <c r="G36" s="43">
        <v>0.21088026315789477</v>
      </c>
      <c r="K36" s="1" t="s">
        <v>697</v>
      </c>
      <c r="L36" s="39">
        <f>L26*E14</f>
        <v>0</v>
      </c>
      <c r="M36" s="39">
        <f>M26*E14</f>
        <v>0</v>
      </c>
      <c r="N36" s="243"/>
      <c r="P36" s="1" t="s">
        <v>697</v>
      </c>
      <c r="Q36" s="39">
        <f>E15*L27</f>
        <v>332640000000</v>
      </c>
      <c r="R36" s="39">
        <f>E15*M27</f>
        <v>582120000000</v>
      </c>
      <c r="S36" s="39">
        <f>E15*N27</f>
        <v>748440000000</v>
      </c>
    </row>
    <row r="37" spans="2:20" ht="13.2">
      <c r="K37" s="1" t="s">
        <v>698</v>
      </c>
      <c r="L37" s="39">
        <f>F14*L26</f>
        <v>491399999999.99994</v>
      </c>
      <c r="M37" s="39">
        <f>F14*M26</f>
        <v>912600000000</v>
      </c>
      <c r="N37" s="243"/>
      <c r="P37" s="1" t="s">
        <v>698</v>
      </c>
      <c r="Q37" s="39">
        <f>F15*L27</f>
        <v>1286840000000</v>
      </c>
      <c r="R37" s="39">
        <f>F15*M27</f>
        <v>2251970000000</v>
      </c>
      <c r="S37" s="39">
        <f>F15*N27</f>
        <v>2895390000000</v>
      </c>
    </row>
    <row r="38" spans="2:20" ht="15">
      <c r="F38" s="204"/>
      <c r="G38" s="204"/>
      <c r="K38" s="33" t="s">
        <v>699</v>
      </c>
      <c r="L38" s="39">
        <f>L26*H14</f>
        <v>1294510000000</v>
      </c>
      <c r="M38" s="39">
        <f>H14*M26</f>
        <v>2404090000000</v>
      </c>
      <c r="N38" s="243"/>
      <c r="P38" s="33" t="s">
        <v>699</v>
      </c>
      <c r="Q38" s="39">
        <f>H15*L27</f>
        <v>944100000000</v>
      </c>
      <c r="R38" s="39">
        <f>H15*M27</f>
        <v>1652175000000</v>
      </c>
      <c r="S38" s="39">
        <f>H15*N27</f>
        <v>2124225000000</v>
      </c>
    </row>
    <row r="39" spans="2:20" ht="15">
      <c r="E39" s="204"/>
      <c r="F39" s="204"/>
      <c r="G39" s="204"/>
      <c r="K39" s="33" t="s">
        <v>700</v>
      </c>
      <c r="L39" s="39">
        <f>I14*L26</f>
        <v>1294510000000</v>
      </c>
      <c r="M39" s="39">
        <f>I14*M26</f>
        <v>2404090000000</v>
      </c>
      <c r="N39" s="47"/>
      <c r="P39" s="33" t="s">
        <v>700</v>
      </c>
      <c r="Q39" s="39">
        <f>I15*L27</f>
        <v>1921653882000</v>
      </c>
      <c r="R39" s="39">
        <f>I15*M27</f>
        <v>3362894293500</v>
      </c>
      <c r="S39" s="39">
        <f>I15*N27</f>
        <v>4323721234500</v>
      </c>
    </row>
    <row r="40" spans="2:20" ht="13.8">
      <c r="H40" s="180"/>
      <c r="O40" s="246"/>
    </row>
    <row r="41" spans="2:20" ht="13.2">
      <c r="H41" s="247"/>
      <c r="K41" s="33"/>
      <c r="L41" s="47" t="s">
        <v>688</v>
      </c>
      <c r="M41" s="47"/>
      <c r="N41" s="47"/>
      <c r="O41" s="33"/>
      <c r="Q41" s="47" t="s">
        <v>688</v>
      </c>
      <c r="R41" s="47"/>
      <c r="S41" s="47"/>
    </row>
    <row r="42" spans="2:20" ht="15">
      <c r="H42" s="248"/>
      <c r="K42" s="244" t="s">
        <v>561</v>
      </c>
      <c r="L42" s="245" t="s">
        <v>682</v>
      </c>
      <c r="M42" s="245" t="s">
        <v>683</v>
      </c>
      <c r="N42" s="245" t="s">
        <v>684</v>
      </c>
      <c r="P42" s="193" t="s">
        <v>675</v>
      </c>
      <c r="Q42" s="245" t="s">
        <v>682</v>
      </c>
      <c r="R42" s="245" t="s">
        <v>683</v>
      </c>
      <c r="S42" s="245" t="s">
        <v>684</v>
      </c>
    </row>
    <row r="43" spans="2:20" ht="15">
      <c r="H43" s="204"/>
      <c r="I43" s="204"/>
      <c r="J43" s="204"/>
      <c r="K43" s="1" t="s">
        <v>689</v>
      </c>
      <c r="L43" s="39">
        <f>C16*L27</f>
        <v>629750000000</v>
      </c>
      <c r="M43" s="39">
        <f>C16*M27</f>
        <v>1102062500000</v>
      </c>
      <c r="N43" s="39">
        <f>C16*N27</f>
        <v>1416937500000</v>
      </c>
      <c r="P43" s="1" t="s">
        <v>689</v>
      </c>
      <c r="Q43" s="39">
        <f>C17*L27</f>
        <v>164880000000</v>
      </c>
      <c r="R43" s="39">
        <f>M27*C17</f>
        <v>288540000000</v>
      </c>
      <c r="S43" s="197">
        <f>N27*C17</f>
        <v>370980000000</v>
      </c>
    </row>
    <row r="44" spans="2:20" ht="15.6">
      <c r="B44" s="232" t="s">
        <v>701</v>
      </c>
      <c r="C44" s="193">
        <v>2023</v>
      </c>
      <c r="D44" s="193">
        <v>2024</v>
      </c>
      <c r="E44" s="193" t="s">
        <v>677</v>
      </c>
      <c r="F44" s="233" t="s">
        <v>671</v>
      </c>
      <c r="G44" s="233" t="s">
        <v>678</v>
      </c>
      <c r="H44" s="239"/>
      <c r="I44" s="348"/>
      <c r="J44" s="343"/>
      <c r="K44" s="1" t="s">
        <v>696</v>
      </c>
      <c r="L44" s="39">
        <f>D16*L27</f>
        <v>281800000000</v>
      </c>
      <c r="M44" s="39">
        <f>D16*M27</f>
        <v>493149999999.99994</v>
      </c>
      <c r="N44" s="39">
        <f>D16*N27</f>
        <v>634050000000</v>
      </c>
      <c r="P44" s="1" t="s">
        <v>696</v>
      </c>
      <c r="Q44" s="229"/>
      <c r="R44" s="229"/>
      <c r="S44" s="197"/>
    </row>
    <row r="45" spans="2:20" ht="15">
      <c r="B45" s="233" t="s">
        <v>594</v>
      </c>
      <c r="C45" s="197">
        <v>883400000000</v>
      </c>
      <c r="D45" s="197">
        <v>1052700000000</v>
      </c>
      <c r="E45" s="197">
        <v>1210605000000</v>
      </c>
      <c r="F45" s="249">
        <f>E45*1.3</f>
        <v>1573786500000</v>
      </c>
      <c r="G45" s="249">
        <f>F45*1.09</f>
        <v>1715427285000.0002</v>
      </c>
      <c r="K45" s="1" t="s">
        <v>697</v>
      </c>
      <c r="L45" s="250">
        <v>0</v>
      </c>
      <c r="M45" s="250">
        <v>0</v>
      </c>
      <c r="N45" s="250">
        <v>0</v>
      </c>
      <c r="P45" s="1" t="s">
        <v>697</v>
      </c>
      <c r="Q45" s="229">
        <f>E17*L27</f>
        <v>161600000000</v>
      </c>
      <c r="R45" s="229">
        <f>E17*M27</f>
        <v>282800000000</v>
      </c>
      <c r="S45" s="197">
        <f>E17*L27</f>
        <v>161600000000</v>
      </c>
    </row>
    <row r="46" spans="2:20" ht="15">
      <c r="B46" s="233" t="s">
        <v>595</v>
      </c>
      <c r="C46" s="197">
        <v>977100000000</v>
      </c>
      <c r="D46" s="197">
        <v>1090900000000</v>
      </c>
      <c r="E46" s="197">
        <f>D46</f>
        <v>1090900000000</v>
      </c>
      <c r="F46" s="197">
        <f>E46*(1-0.05)</f>
        <v>1036355000000</v>
      </c>
      <c r="G46" s="249">
        <f>1.09*F46</f>
        <v>1129626950000</v>
      </c>
      <c r="K46" s="1" t="s">
        <v>698</v>
      </c>
      <c r="L46" s="39">
        <f>F16*L27</f>
        <v>343540000000</v>
      </c>
      <c r="M46" s="39">
        <f>F16*M27</f>
        <v>601195000000</v>
      </c>
      <c r="N46" s="39">
        <f>F16*N27</f>
        <v>772965000000</v>
      </c>
      <c r="P46" s="1" t="s">
        <v>698</v>
      </c>
      <c r="Q46" s="197">
        <f>L27*F17</f>
        <v>166300000000</v>
      </c>
      <c r="R46" s="197">
        <f>F17*M27</f>
        <v>291025000000</v>
      </c>
      <c r="S46" s="197">
        <f>N27*F17</f>
        <v>374175000000</v>
      </c>
    </row>
    <row r="47" spans="2:20" ht="15">
      <c r="B47" s="233" t="s">
        <v>596</v>
      </c>
      <c r="C47" s="197"/>
      <c r="D47" s="197">
        <v>336900000000</v>
      </c>
      <c r="E47" s="249">
        <f>D47*1.08</f>
        <v>363852000000</v>
      </c>
      <c r="F47" s="249">
        <f>E47*1.09</f>
        <v>396598680000</v>
      </c>
      <c r="G47" s="249">
        <f>F47*1.1</f>
        <v>436258548000.00006</v>
      </c>
      <c r="K47" s="33" t="s">
        <v>699</v>
      </c>
      <c r="L47" s="39">
        <f>H16*L27</f>
        <v>1066580000000</v>
      </c>
      <c r="M47" s="39">
        <f>H16*M27</f>
        <v>1866515000000</v>
      </c>
      <c r="N47" s="39">
        <f>H16*N27</f>
        <v>2399805000000</v>
      </c>
      <c r="P47" s="33" t="s">
        <v>699</v>
      </c>
      <c r="Q47" s="197"/>
      <c r="R47" s="197"/>
      <c r="S47" s="197"/>
    </row>
    <row r="48" spans="2:20" ht="15">
      <c r="B48" s="233" t="s">
        <v>669</v>
      </c>
      <c r="C48" s="197">
        <f t="shared" ref="C48:G48" si="8">SUM(C45:C47)</f>
        <v>1860500000000</v>
      </c>
      <c r="D48" s="197">
        <f t="shared" si="8"/>
        <v>2480500000000</v>
      </c>
      <c r="E48" s="202">
        <f t="shared" si="8"/>
        <v>2665357000000</v>
      </c>
      <c r="F48" s="202">
        <f t="shared" si="8"/>
        <v>3006740180000</v>
      </c>
      <c r="G48" s="202">
        <f t="shared" si="8"/>
        <v>3281312783000</v>
      </c>
      <c r="K48" s="33" t="s">
        <v>700</v>
      </c>
      <c r="L48" s="39">
        <f>I16*L27</f>
        <v>621336000000</v>
      </c>
      <c r="M48" s="39">
        <f>I16*M27</f>
        <v>1087337999999.9999</v>
      </c>
      <c r="N48" s="39">
        <f>I16*N27</f>
        <v>1398006000000</v>
      </c>
      <c r="P48" s="33" t="s">
        <v>700</v>
      </c>
      <c r="Q48" s="39"/>
      <c r="R48" s="39"/>
      <c r="S48" s="39"/>
    </row>
    <row r="49" spans="2:17" ht="15">
      <c r="K49" s="204"/>
      <c r="Q49" s="204"/>
    </row>
    <row r="50" spans="2:17" ht="15">
      <c r="C50" s="41"/>
      <c r="K50" s="204"/>
      <c r="Q50" s="204"/>
    </row>
    <row r="51" spans="2:17" ht="15">
      <c r="C51" s="41"/>
      <c r="K51" s="204"/>
      <c r="Q51" s="204"/>
    </row>
    <row r="52" spans="2:17" ht="13.2">
      <c r="B52" s="180"/>
      <c r="Q52" s="1"/>
    </row>
    <row r="53" spans="2:17" ht="13.2">
      <c r="B53" s="180"/>
      <c r="F53" s="180"/>
      <c r="G53" s="180"/>
    </row>
    <row r="54" spans="2:17" ht="13.2">
      <c r="B54" s="180"/>
      <c r="C54" s="180" t="s">
        <v>702</v>
      </c>
      <c r="D54" s="180" t="s">
        <v>703</v>
      </c>
      <c r="E54" s="1" t="s">
        <v>704</v>
      </c>
      <c r="F54" s="180" t="s">
        <v>621</v>
      </c>
      <c r="L54" s="251" t="s">
        <v>705</v>
      </c>
    </row>
    <row r="55" spans="2:17" ht="13.2">
      <c r="B55" s="252" t="s">
        <v>594</v>
      </c>
      <c r="C55" s="251" t="s">
        <v>705</v>
      </c>
      <c r="D55" s="41">
        <v>1020000000000</v>
      </c>
      <c r="E55" s="1" t="s">
        <v>706</v>
      </c>
      <c r="L55" s="253" t="s">
        <v>707</v>
      </c>
      <c r="M55" s="253" t="s">
        <v>708</v>
      </c>
      <c r="N55" s="253" t="s">
        <v>709</v>
      </c>
      <c r="O55" s="253" t="s">
        <v>710</v>
      </c>
      <c r="P55" s="253" t="s">
        <v>711</v>
      </c>
    </row>
    <row r="56" spans="2:17" ht="13.2">
      <c r="C56" s="180" t="s">
        <v>712</v>
      </c>
      <c r="D56" s="41">
        <v>985700000000</v>
      </c>
      <c r="E56" s="1" t="s">
        <v>713</v>
      </c>
      <c r="F56" s="177" t="s">
        <v>714</v>
      </c>
      <c r="L56" s="254">
        <v>2021</v>
      </c>
      <c r="M56" s="254" t="s">
        <v>715</v>
      </c>
      <c r="N56" s="254" t="s">
        <v>716</v>
      </c>
      <c r="O56" s="254">
        <f>5%</f>
        <v>0.05</v>
      </c>
      <c r="P56" s="255">
        <f>D55*O56</f>
        <v>51000000000</v>
      </c>
    </row>
    <row r="57" spans="2:17" ht="13.2">
      <c r="C57" s="180" t="s">
        <v>717</v>
      </c>
      <c r="D57" s="41">
        <v>1020000000000</v>
      </c>
      <c r="E57" s="1" t="s">
        <v>718</v>
      </c>
      <c r="F57" s="256" t="s">
        <v>719</v>
      </c>
      <c r="L57" s="254">
        <v>2022</v>
      </c>
      <c r="M57" s="254" t="s">
        <v>720</v>
      </c>
      <c r="N57" s="254" t="s">
        <v>721</v>
      </c>
      <c r="O57" s="254">
        <f>10%</f>
        <v>0.1</v>
      </c>
      <c r="P57" s="255">
        <f>D55*O57</f>
        <v>102000000000</v>
      </c>
    </row>
    <row r="58" spans="2:17" ht="15">
      <c r="C58" s="180" t="s">
        <v>722</v>
      </c>
      <c r="D58" s="257">
        <v>791700000000</v>
      </c>
      <c r="E58" s="1" t="s">
        <v>723</v>
      </c>
      <c r="F58" s="177" t="s">
        <v>724</v>
      </c>
      <c r="L58" s="254">
        <v>2023</v>
      </c>
      <c r="M58" s="254" t="s">
        <v>725</v>
      </c>
      <c r="N58" s="254" t="s">
        <v>726</v>
      </c>
      <c r="O58" s="254">
        <f>30%</f>
        <v>0.3</v>
      </c>
      <c r="P58" s="255">
        <f>D55*O58</f>
        <v>306000000000</v>
      </c>
    </row>
    <row r="59" spans="2:17" ht="15">
      <c r="C59" s="251" t="s">
        <v>727</v>
      </c>
      <c r="D59" s="258">
        <v>460200000000</v>
      </c>
      <c r="E59" s="1" t="s">
        <v>728</v>
      </c>
      <c r="F59" s="177" t="s">
        <v>729</v>
      </c>
      <c r="G59" s="177" t="s">
        <v>730</v>
      </c>
      <c r="L59" s="254">
        <v>2024</v>
      </c>
      <c r="M59" s="254" t="s">
        <v>731</v>
      </c>
      <c r="N59" s="254" t="s">
        <v>732</v>
      </c>
      <c r="O59" s="254">
        <f>35%</f>
        <v>0.35</v>
      </c>
      <c r="P59" s="255">
        <f>D55*O59</f>
        <v>357000000000</v>
      </c>
    </row>
    <row r="60" spans="2:17" ht="13.2">
      <c r="C60" s="180" t="s">
        <v>733</v>
      </c>
      <c r="D60" s="41">
        <v>195000000000</v>
      </c>
      <c r="F60" s="259" t="s">
        <v>734</v>
      </c>
      <c r="L60" s="260">
        <v>2025</v>
      </c>
      <c r="M60" s="260" t="s">
        <v>735</v>
      </c>
      <c r="N60" s="260" t="s">
        <v>736</v>
      </c>
      <c r="O60" s="260">
        <f>13%</f>
        <v>0.13</v>
      </c>
      <c r="P60" s="261">
        <f>D55*O60</f>
        <v>132600000000</v>
      </c>
    </row>
    <row r="61" spans="2:17" ht="13.2">
      <c r="B61" s="252" t="s">
        <v>595</v>
      </c>
      <c r="C61" s="180" t="s">
        <v>737</v>
      </c>
      <c r="D61" s="41">
        <v>255000000000</v>
      </c>
      <c r="E61" s="1" t="s">
        <v>738</v>
      </c>
      <c r="F61" s="259" t="s">
        <v>739</v>
      </c>
      <c r="L61" s="260">
        <v>2026</v>
      </c>
      <c r="M61" s="260" t="s">
        <v>740</v>
      </c>
      <c r="N61" s="260" t="s">
        <v>741</v>
      </c>
      <c r="O61" s="260">
        <f>5%</f>
        <v>0.05</v>
      </c>
      <c r="P61" s="261">
        <f>D55*O61</f>
        <v>51000000000</v>
      </c>
    </row>
    <row r="62" spans="2:17" ht="17.399999999999999">
      <c r="C62" s="262" t="s">
        <v>742</v>
      </c>
      <c r="D62" s="263">
        <v>656100000000</v>
      </c>
      <c r="E62" s="1" t="s">
        <v>743</v>
      </c>
      <c r="F62" s="177" t="s">
        <v>744</v>
      </c>
      <c r="L62" s="260">
        <v>2027</v>
      </c>
      <c r="M62" s="260" t="s">
        <v>745</v>
      </c>
      <c r="N62" s="260" t="s">
        <v>746</v>
      </c>
      <c r="O62" s="260">
        <f>2%</f>
        <v>0.02</v>
      </c>
      <c r="P62" s="261">
        <f>D55*O62</f>
        <v>20400000000</v>
      </c>
    </row>
    <row r="63" spans="2:17" ht="13.2">
      <c r="C63" s="264" t="s">
        <v>747</v>
      </c>
    </row>
    <row r="64" spans="2:17" ht="13.2">
      <c r="B64" s="252" t="s">
        <v>596</v>
      </c>
      <c r="C64" s="180" t="s">
        <v>748</v>
      </c>
      <c r="D64" s="41">
        <v>197000000000</v>
      </c>
      <c r="F64" s="259" t="s">
        <v>749</v>
      </c>
      <c r="L64" s="180" t="s">
        <v>712</v>
      </c>
    </row>
    <row r="65" spans="3:20" ht="13.2">
      <c r="C65" s="252"/>
      <c r="D65" s="247"/>
      <c r="E65" s="180"/>
      <c r="L65" s="253" t="s">
        <v>707</v>
      </c>
      <c r="M65" s="253" t="s">
        <v>708</v>
      </c>
      <c r="N65" s="253" t="s">
        <v>709</v>
      </c>
      <c r="O65" s="253" t="s">
        <v>710</v>
      </c>
      <c r="P65" s="253" t="s">
        <v>711</v>
      </c>
      <c r="R65" s="33"/>
      <c r="T65" s="33"/>
    </row>
    <row r="66" spans="3:20" ht="13.2">
      <c r="L66" s="254">
        <v>2021</v>
      </c>
      <c r="M66" s="254" t="s">
        <v>715</v>
      </c>
      <c r="O66" s="254">
        <f>5%</f>
        <v>0.05</v>
      </c>
      <c r="P66" s="254">
        <f>D56*O66</f>
        <v>49285000000</v>
      </c>
    </row>
    <row r="67" spans="3:20" ht="13.2">
      <c r="L67" s="254">
        <v>2022</v>
      </c>
      <c r="M67" s="254" t="s">
        <v>750</v>
      </c>
      <c r="O67" s="254">
        <f>10%</f>
        <v>0.1</v>
      </c>
      <c r="P67" s="265">
        <f>D56*O67</f>
        <v>98570000000</v>
      </c>
      <c r="Q67" s="33"/>
    </row>
    <row r="68" spans="3:20" ht="13.2">
      <c r="L68" s="254">
        <v>2023</v>
      </c>
      <c r="M68" s="254" t="s">
        <v>751</v>
      </c>
      <c r="O68" s="254">
        <f t="shared" ref="O68:O69" si="9">20%</f>
        <v>0.2</v>
      </c>
      <c r="P68" s="265">
        <f>D56*O68</f>
        <v>197140000000</v>
      </c>
    </row>
    <row r="69" spans="3:20" ht="13.2">
      <c r="L69" s="254">
        <v>2024</v>
      </c>
      <c r="M69" s="254" t="s">
        <v>752</v>
      </c>
      <c r="O69" s="254">
        <f t="shared" si="9"/>
        <v>0.2</v>
      </c>
      <c r="P69" s="265">
        <f>D56*O69</f>
        <v>197140000000</v>
      </c>
    </row>
    <row r="70" spans="3:20" ht="13.2">
      <c r="J70" s="47"/>
      <c r="L70" s="260">
        <v>2025</v>
      </c>
      <c r="M70" s="260" t="s">
        <v>753</v>
      </c>
      <c r="N70" s="266"/>
      <c r="O70" s="260">
        <f>25%</f>
        <v>0.25</v>
      </c>
      <c r="P70" s="267">
        <f>D56*O70</f>
        <v>246425000000</v>
      </c>
      <c r="Q70" s="180"/>
    </row>
    <row r="71" spans="3:20" ht="13.2">
      <c r="L71" s="260">
        <v>2026</v>
      </c>
      <c r="M71" s="260" t="s">
        <v>754</v>
      </c>
      <c r="N71" s="266"/>
      <c r="O71" s="260">
        <f>15%</f>
        <v>0.15</v>
      </c>
      <c r="P71" s="267">
        <f>D56*O71</f>
        <v>147855000000</v>
      </c>
      <c r="Q71" s="252"/>
    </row>
    <row r="72" spans="3:20" ht="13.2">
      <c r="L72" s="260">
        <v>2027</v>
      </c>
      <c r="M72" s="260" t="s">
        <v>755</v>
      </c>
      <c r="N72" s="266"/>
      <c r="O72" s="260">
        <f>3%</f>
        <v>0.03</v>
      </c>
      <c r="P72" s="260">
        <f>D56*O72</f>
        <v>29571000000</v>
      </c>
      <c r="Q72" s="180"/>
    </row>
    <row r="73" spans="3:20" ht="13.2">
      <c r="L73" s="254">
        <v>2028</v>
      </c>
      <c r="M73" s="254" t="s">
        <v>756</v>
      </c>
      <c r="O73" s="254">
        <f>2%</f>
        <v>0.02</v>
      </c>
      <c r="P73" s="254">
        <f>D56*O73</f>
        <v>19714000000</v>
      </c>
      <c r="Q73" s="180"/>
    </row>
    <row r="74" spans="3:20" ht="13.2">
      <c r="Q74" s="252"/>
    </row>
    <row r="75" spans="3:20" ht="13.2">
      <c r="L75" s="180" t="s">
        <v>717</v>
      </c>
      <c r="Q75" s="180"/>
      <c r="R75" s="180"/>
      <c r="S75" s="180"/>
      <c r="T75" s="180"/>
    </row>
    <row r="76" spans="3:20" ht="13.2">
      <c r="L76" s="253" t="s">
        <v>707</v>
      </c>
      <c r="M76" s="253" t="s">
        <v>757</v>
      </c>
      <c r="N76" s="253" t="s">
        <v>709</v>
      </c>
      <c r="O76" s="253" t="s">
        <v>710</v>
      </c>
      <c r="P76" s="253" t="s">
        <v>711</v>
      </c>
      <c r="Q76" s="180"/>
      <c r="R76" s="180"/>
      <c r="S76" s="180"/>
      <c r="T76" s="180"/>
    </row>
    <row r="77" spans="3:20" ht="13.2">
      <c r="L77" s="254">
        <v>2023</v>
      </c>
      <c r="M77" s="254" t="s">
        <v>715</v>
      </c>
      <c r="N77" s="254" t="s">
        <v>716</v>
      </c>
      <c r="O77" s="254">
        <f>5%</f>
        <v>0.05</v>
      </c>
      <c r="P77" s="1">
        <f>D57*O77</f>
        <v>51000000000</v>
      </c>
      <c r="Q77" s="252"/>
      <c r="R77" s="180"/>
      <c r="S77" s="180"/>
      <c r="T77" s="180"/>
    </row>
    <row r="78" spans="3:20" ht="13.2">
      <c r="L78" s="254">
        <v>2024</v>
      </c>
      <c r="M78" s="254" t="s">
        <v>758</v>
      </c>
      <c r="N78" s="254" t="s">
        <v>721</v>
      </c>
      <c r="O78" s="254">
        <f>10%</f>
        <v>0.1</v>
      </c>
      <c r="P78" s="1">
        <f>D57*O78</f>
        <v>102000000000</v>
      </c>
      <c r="Q78" s="180"/>
      <c r="R78" s="180"/>
      <c r="S78" s="180"/>
      <c r="T78" s="180"/>
    </row>
    <row r="79" spans="3:20" ht="13.2">
      <c r="L79" s="260">
        <v>2025</v>
      </c>
      <c r="M79" s="260" t="s">
        <v>759</v>
      </c>
      <c r="N79" s="260" t="s">
        <v>760</v>
      </c>
      <c r="O79" s="260">
        <f t="shared" ref="O79:O81" si="10">15%</f>
        <v>0.15</v>
      </c>
      <c r="P79" s="266">
        <f>D57*O79</f>
        <v>153000000000</v>
      </c>
      <c r="Q79" s="180"/>
      <c r="R79" s="180"/>
      <c r="S79" s="180"/>
      <c r="T79" s="180"/>
    </row>
    <row r="80" spans="3:20" ht="13.2">
      <c r="L80" s="260">
        <v>2026</v>
      </c>
      <c r="M80" s="260" t="s">
        <v>761</v>
      </c>
      <c r="N80" s="260" t="s">
        <v>762</v>
      </c>
      <c r="O80" s="260">
        <f t="shared" si="10"/>
        <v>0.15</v>
      </c>
      <c r="P80" s="266">
        <f>D57*O80</f>
        <v>153000000000</v>
      </c>
      <c r="S80" s="268"/>
    </row>
    <row r="81" spans="2:19" ht="13.2">
      <c r="L81" s="260">
        <v>2027</v>
      </c>
      <c r="M81" s="260" t="s">
        <v>763</v>
      </c>
      <c r="N81" s="260" t="s">
        <v>764</v>
      </c>
      <c r="O81" s="260">
        <f t="shared" si="10"/>
        <v>0.15</v>
      </c>
      <c r="P81" s="266">
        <f>D57*O81</f>
        <v>153000000000</v>
      </c>
      <c r="S81" s="180"/>
    </row>
    <row r="82" spans="2:19" ht="15">
      <c r="L82" s="254">
        <v>2028</v>
      </c>
      <c r="M82" s="254" t="s">
        <v>765</v>
      </c>
      <c r="N82" s="254" t="s">
        <v>766</v>
      </c>
      <c r="O82" s="254">
        <f>20%</f>
        <v>0.2</v>
      </c>
      <c r="P82" s="1">
        <f>D57*O82</f>
        <v>204000000000</v>
      </c>
      <c r="R82" s="47"/>
      <c r="S82" s="237"/>
    </row>
    <row r="83" spans="2:19" ht="15">
      <c r="L83" s="254">
        <v>2029</v>
      </c>
      <c r="M83" s="254" t="s">
        <v>767</v>
      </c>
      <c r="N83" s="254" t="s">
        <v>768</v>
      </c>
      <c r="O83" s="254">
        <f>10%</f>
        <v>0.1</v>
      </c>
      <c r="P83" s="1">
        <f>D57*O83</f>
        <v>102000000000</v>
      </c>
      <c r="S83" s="237"/>
    </row>
    <row r="84" spans="2:19" ht="15">
      <c r="L84" s="254">
        <v>2030</v>
      </c>
      <c r="M84" s="254" t="s">
        <v>769</v>
      </c>
      <c r="N84" s="254" t="s">
        <v>770</v>
      </c>
      <c r="O84" s="254">
        <f>7%</f>
        <v>7.0000000000000007E-2</v>
      </c>
      <c r="P84" s="1">
        <f>D57*O84</f>
        <v>71400000000</v>
      </c>
      <c r="S84" s="237"/>
    </row>
    <row r="85" spans="2:19" ht="15">
      <c r="C85" s="1" t="s">
        <v>771</v>
      </c>
      <c r="D85" s="41">
        <f t="shared" ref="D85:F85" si="11">AVERAGE(D87:E87)</f>
        <v>3752223000000</v>
      </c>
      <c r="E85" s="41">
        <f t="shared" si="11"/>
        <v>2541963000000</v>
      </c>
      <c r="F85" s="41">
        <f t="shared" si="11"/>
        <v>2243019020891</v>
      </c>
      <c r="L85" s="254">
        <v>2031</v>
      </c>
      <c r="M85" s="254" t="s">
        <v>772</v>
      </c>
      <c r="N85" s="254" t="s">
        <v>773</v>
      </c>
      <c r="O85" s="254">
        <f>3%</f>
        <v>0.03</v>
      </c>
      <c r="P85" s="1">
        <f>D57*O85</f>
        <v>30600000000</v>
      </c>
      <c r="S85" s="237"/>
    </row>
    <row r="86" spans="2:19" ht="15.6">
      <c r="C86" s="269" t="s">
        <v>42</v>
      </c>
      <c r="D86" s="270">
        <v>2024</v>
      </c>
      <c r="E86" s="270">
        <v>2023</v>
      </c>
      <c r="F86" s="270">
        <v>2022</v>
      </c>
      <c r="G86" s="270">
        <v>2021</v>
      </c>
      <c r="H86" s="270" t="s">
        <v>774</v>
      </c>
      <c r="I86" s="270" t="s">
        <v>775</v>
      </c>
      <c r="J86" s="271" t="s">
        <v>776</v>
      </c>
      <c r="P86" s="272"/>
      <c r="S86" s="237"/>
    </row>
    <row r="87" spans="2:19" ht="15.6">
      <c r="B87" s="33"/>
      <c r="C87" s="273" t="s">
        <v>42</v>
      </c>
      <c r="D87" s="274">
        <v>4986595000000</v>
      </c>
      <c r="E87" s="274">
        <v>2517851000000</v>
      </c>
      <c r="F87" s="274">
        <v>2566075000000</v>
      </c>
      <c r="G87" s="275">
        <v>1919963041782</v>
      </c>
      <c r="H87" s="1">
        <f>(G10/365)*H89</f>
        <v>3677427549488.1045</v>
      </c>
      <c r="I87" s="1">
        <f t="shared" ref="I87:J87" si="12">H10/365*I89</f>
        <v>4720653602918.5303</v>
      </c>
      <c r="J87" s="276">
        <f t="shared" si="12"/>
        <v>5616697862465.7529</v>
      </c>
      <c r="L87" s="180" t="s">
        <v>722</v>
      </c>
      <c r="S87" s="237"/>
    </row>
    <row r="88" spans="2:19" ht="15.6">
      <c r="B88" s="277"/>
      <c r="C88" s="273" t="s">
        <v>777</v>
      </c>
      <c r="D88" s="278">
        <f>E10/D85</f>
        <v>2.8718988716822</v>
      </c>
      <c r="E88" s="278">
        <f>D10/E85</f>
        <v>2.9144059138547651</v>
      </c>
      <c r="F88" s="278">
        <f>C10/F85</f>
        <v>2.1667894720167777</v>
      </c>
      <c r="H88" s="278"/>
      <c r="I88" s="278"/>
      <c r="J88" s="279"/>
      <c r="L88" s="253" t="s">
        <v>707</v>
      </c>
      <c r="M88" s="253" t="s">
        <v>778</v>
      </c>
      <c r="N88" s="253" t="s">
        <v>709</v>
      </c>
      <c r="O88" s="253" t="s">
        <v>710</v>
      </c>
      <c r="P88" s="253" t="s">
        <v>711</v>
      </c>
      <c r="S88" s="237"/>
    </row>
    <row r="89" spans="2:19" ht="15">
      <c r="B89" s="277"/>
      <c r="C89" s="280" t="s">
        <v>779</v>
      </c>
      <c r="D89" s="64">
        <f t="shared" ref="D89:F89" si="13">365/D88</f>
        <v>127.0936116863346</v>
      </c>
      <c r="E89" s="64">
        <f t="shared" si="13"/>
        <v>125.23993252444011</v>
      </c>
      <c r="F89" s="64">
        <f t="shared" si="13"/>
        <v>168.45199070506365</v>
      </c>
      <c r="G89" s="64"/>
      <c r="H89" s="64">
        <v>127</v>
      </c>
      <c r="I89" s="64">
        <v>127</v>
      </c>
      <c r="J89" s="281">
        <v>120</v>
      </c>
      <c r="L89" s="254">
        <v>2023</v>
      </c>
      <c r="M89" s="254" t="s">
        <v>780</v>
      </c>
      <c r="N89" s="254" t="s">
        <v>781</v>
      </c>
      <c r="O89" s="254">
        <f>8%</f>
        <v>0.08</v>
      </c>
      <c r="P89" s="1">
        <f>D58*O89</f>
        <v>63336000000</v>
      </c>
      <c r="S89" s="236"/>
    </row>
    <row r="90" spans="2:19" ht="15">
      <c r="B90" s="277"/>
      <c r="L90" s="254">
        <v>2024</v>
      </c>
      <c r="M90" s="254" t="s">
        <v>782</v>
      </c>
      <c r="N90" s="254" t="s">
        <v>783</v>
      </c>
      <c r="O90" s="254">
        <f>20%</f>
        <v>0.2</v>
      </c>
      <c r="P90" s="1">
        <f>D58*O90</f>
        <v>158340000000</v>
      </c>
      <c r="S90" s="236"/>
    </row>
    <row r="91" spans="2:19" ht="13.2">
      <c r="C91" s="1" t="s">
        <v>784</v>
      </c>
      <c r="D91" s="41">
        <f t="shared" ref="D91:F91" si="14">AVERAGE(D93:E93)</f>
        <v>4340797000000</v>
      </c>
      <c r="E91" s="41">
        <f t="shared" si="14"/>
        <v>4523923000000</v>
      </c>
      <c r="F91" s="41">
        <f t="shared" si="14"/>
        <v>3387845240173.5</v>
      </c>
      <c r="L91" s="260">
        <v>2025</v>
      </c>
      <c r="M91" s="260" t="s">
        <v>785</v>
      </c>
      <c r="N91" s="260" t="s">
        <v>786</v>
      </c>
      <c r="O91" s="260">
        <f t="shared" ref="O91:O92" si="15">25%</f>
        <v>0.25</v>
      </c>
      <c r="P91" s="266">
        <f>D58*O91</f>
        <v>197925000000</v>
      </c>
    </row>
    <row r="92" spans="2:19" ht="13.2">
      <c r="C92" s="282" t="s">
        <v>96</v>
      </c>
      <c r="D92" s="270">
        <v>2024</v>
      </c>
      <c r="E92" s="270">
        <v>2023</v>
      </c>
      <c r="F92" s="270">
        <v>2022</v>
      </c>
      <c r="G92" s="270">
        <v>2021</v>
      </c>
      <c r="H92" s="270" t="s">
        <v>774</v>
      </c>
      <c r="I92" s="270" t="s">
        <v>775</v>
      </c>
      <c r="J92" s="271" t="s">
        <v>776</v>
      </c>
      <c r="L92" s="260">
        <v>2026</v>
      </c>
      <c r="M92" s="260" t="s">
        <v>787</v>
      </c>
      <c r="N92" s="260" t="s">
        <v>788</v>
      </c>
      <c r="O92" s="260">
        <f t="shared" si="15"/>
        <v>0.25</v>
      </c>
      <c r="P92" s="266">
        <f>O92*D58</f>
        <v>197925000000</v>
      </c>
    </row>
    <row r="93" spans="2:19" ht="13.8">
      <c r="C93" s="283" t="s">
        <v>96</v>
      </c>
      <c r="D93" s="144">
        <v>4315344000000</v>
      </c>
      <c r="E93" s="144">
        <v>4366250000000</v>
      </c>
      <c r="F93" s="144">
        <v>4681596000000</v>
      </c>
      <c r="G93" s="275">
        <v>2094094480347</v>
      </c>
      <c r="H93" s="47">
        <f t="shared" ref="H93:J93" si="16">G10/365*H95</f>
        <v>4256549998226.3887</v>
      </c>
      <c r="I93" s="47">
        <f t="shared" si="16"/>
        <v>5464063619126.1729</v>
      </c>
      <c r="J93" s="284">
        <f t="shared" si="16"/>
        <v>6880454881520.5479</v>
      </c>
      <c r="L93" s="260">
        <v>2027</v>
      </c>
      <c r="M93" s="260" t="s">
        <v>789</v>
      </c>
      <c r="N93" s="260" t="s">
        <v>790</v>
      </c>
      <c r="O93" s="260">
        <f>15%</f>
        <v>0.15</v>
      </c>
      <c r="P93" s="266">
        <f>O93*D58</f>
        <v>118755000000</v>
      </c>
    </row>
    <row r="94" spans="2:19" ht="15">
      <c r="C94" s="283" t="s">
        <v>791</v>
      </c>
      <c r="D94" s="56">
        <f>E10/D91</f>
        <v>2.4824945741530877</v>
      </c>
      <c r="E94" s="56">
        <f>D10/E91</f>
        <v>1.6375857856112936</v>
      </c>
      <c r="F94" s="56">
        <f>C10/F91</f>
        <v>1.4345844203175879</v>
      </c>
      <c r="H94" s="1"/>
      <c r="I94" s="1"/>
      <c r="J94" s="276"/>
      <c r="L94" s="254">
        <v>2028</v>
      </c>
      <c r="M94" s="254" t="s">
        <v>792</v>
      </c>
      <c r="N94" s="254" t="s">
        <v>793</v>
      </c>
      <c r="O94" s="254">
        <f>7%</f>
        <v>7.0000000000000007E-2</v>
      </c>
      <c r="P94" s="1">
        <f>O94*D58</f>
        <v>55419000000.000008</v>
      </c>
      <c r="S94" s="237"/>
    </row>
    <row r="95" spans="2:19" ht="15">
      <c r="C95" s="280" t="s">
        <v>779</v>
      </c>
      <c r="D95" s="285">
        <f t="shared" ref="D95:F95" si="17">365/D94</f>
        <v>147.02952578436998</v>
      </c>
      <c r="E95" s="285">
        <f t="shared" si="17"/>
        <v>222.8890866097432</v>
      </c>
      <c r="F95" s="285">
        <f t="shared" si="17"/>
        <v>254.429084012495</v>
      </c>
      <c r="G95" s="64"/>
      <c r="H95" s="64">
        <v>147</v>
      </c>
      <c r="I95" s="64">
        <v>147</v>
      </c>
      <c r="J95" s="281">
        <v>147</v>
      </c>
      <c r="S95" s="237"/>
    </row>
    <row r="96" spans="2:19" ht="15">
      <c r="C96" s="33"/>
      <c r="D96" s="33"/>
      <c r="E96" s="33"/>
      <c r="F96" s="33"/>
      <c r="L96" s="251" t="s">
        <v>727</v>
      </c>
      <c r="S96" s="237"/>
    </row>
    <row r="97" spans="3:19" ht="15">
      <c r="L97" s="253" t="s">
        <v>707</v>
      </c>
      <c r="M97" s="253" t="s">
        <v>757</v>
      </c>
      <c r="N97" s="253" t="s">
        <v>709</v>
      </c>
      <c r="O97" s="253" t="s">
        <v>710</v>
      </c>
      <c r="P97" s="253" t="s">
        <v>711</v>
      </c>
      <c r="S97" s="237"/>
    </row>
    <row r="98" spans="3:19" ht="15">
      <c r="C98" s="282" t="s">
        <v>55</v>
      </c>
      <c r="D98" s="270">
        <v>2024</v>
      </c>
      <c r="E98" s="270">
        <v>2023</v>
      </c>
      <c r="F98" s="270">
        <v>2022</v>
      </c>
      <c r="G98" s="270" t="s">
        <v>774</v>
      </c>
      <c r="H98" s="270" t="s">
        <v>775</v>
      </c>
      <c r="I98" s="271" t="s">
        <v>776</v>
      </c>
      <c r="L98" s="254">
        <v>2024</v>
      </c>
      <c r="M98" s="254" t="s">
        <v>794</v>
      </c>
      <c r="N98" s="254" t="s">
        <v>795</v>
      </c>
      <c r="O98" s="254">
        <f>15%</f>
        <v>0.15</v>
      </c>
      <c r="P98" s="1">
        <f>D59*O98</f>
        <v>69030000000</v>
      </c>
      <c r="S98" s="237"/>
    </row>
    <row r="99" spans="3:19" ht="15">
      <c r="C99" s="283" t="s">
        <v>55</v>
      </c>
      <c r="D99" s="57">
        <v>267215330308</v>
      </c>
      <c r="E99" s="144">
        <v>273802161219</v>
      </c>
      <c r="F99" s="57">
        <v>203539473132</v>
      </c>
      <c r="G99" s="47">
        <f t="shared" ref="G99:I99" si="18">G10*G100</f>
        <v>326349278875.67847</v>
      </c>
      <c r="H99" s="47">
        <f t="shared" si="18"/>
        <v>418929232024.9201</v>
      </c>
      <c r="I99" s="284">
        <f t="shared" si="18"/>
        <v>527523813853.11926</v>
      </c>
      <c r="L99" s="260">
        <v>2025</v>
      </c>
      <c r="M99" s="260" t="s">
        <v>796</v>
      </c>
      <c r="N99" s="260" t="s">
        <v>797</v>
      </c>
      <c r="O99" s="260">
        <f>20%</f>
        <v>0.2</v>
      </c>
      <c r="P99" s="266">
        <f>D59*O99</f>
        <v>92040000000</v>
      </c>
      <c r="S99" s="237"/>
    </row>
    <row r="100" spans="3:19" ht="13.2">
      <c r="C100" s="280" t="s">
        <v>798</v>
      </c>
      <c r="D100" s="64">
        <f>D99/E10</f>
        <v>2.4797253741808769E-2</v>
      </c>
      <c r="E100" s="64">
        <f>E99/D10</f>
        <v>3.6958778358551853E-2</v>
      </c>
      <c r="F100" s="64">
        <f>F99/C10</f>
        <v>4.1879257457485879E-2</v>
      </c>
      <c r="G100" s="64">
        <f>AVERAGE(D100:E100)</f>
        <v>3.0878016050180312E-2</v>
      </c>
      <c r="H100" s="64">
        <f>AVERAGE(D100:E100)</f>
        <v>3.0878016050180312E-2</v>
      </c>
      <c r="I100" s="281">
        <f>AVERAGE(D100:E100)</f>
        <v>3.0878016050180312E-2</v>
      </c>
      <c r="L100" s="260">
        <v>2026</v>
      </c>
      <c r="M100" s="260" t="s">
        <v>799</v>
      </c>
      <c r="N100" s="260" t="s">
        <v>800</v>
      </c>
      <c r="O100" s="260">
        <f>25%</f>
        <v>0.25</v>
      </c>
      <c r="P100" s="266">
        <f>D59*O100</f>
        <v>115050000000</v>
      </c>
    </row>
    <row r="101" spans="3:19" ht="13.2">
      <c r="L101" s="260">
        <v>2027</v>
      </c>
      <c r="M101" s="260" t="s">
        <v>801</v>
      </c>
      <c r="N101" s="260" t="s">
        <v>766</v>
      </c>
      <c r="O101" s="260">
        <f t="shared" ref="O101:O102" si="19">20%</f>
        <v>0.2</v>
      </c>
      <c r="P101" s="266">
        <f>D59*O101</f>
        <v>92040000000</v>
      </c>
    </row>
    <row r="102" spans="3:19" ht="13.2">
      <c r="L102" s="254">
        <v>2028</v>
      </c>
      <c r="M102" s="254" t="s">
        <v>802</v>
      </c>
      <c r="N102" s="254" t="s">
        <v>803</v>
      </c>
      <c r="O102" s="254">
        <f t="shared" si="19"/>
        <v>0.2</v>
      </c>
      <c r="P102" s="1">
        <f>D59*O102</f>
        <v>92040000000</v>
      </c>
      <c r="R102" s="268"/>
      <c r="S102" s="180"/>
    </row>
    <row r="103" spans="3:19" ht="15">
      <c r="R103" s="236"/>
      <c r="S103" s="237"/>
    </row>
    <row r="104" spans="3:19" ht="13.2">
      <c r="L104" s="180" t="s">
        <v>733</v>
      </c>
      <c r="M104" s="41"/>
      <c r="N104" s="41">
        <v>35000000000</v>
      </c>
    </row>
    <row r="105" spans="3:19" ht="13.2">
      <c r="L105" s="253" t="s">
        <v>707</v>
      </c>
    </row>
    <row r="106" spans="3:19" ht="13.2">
      <c r="C106" s="33"/>
      <c r="D106" s="33"/>
      <c r="E106" s="33"/>
      <c r="F106" s="33"/>
      <c r="G106" s="286"/>
      <c r="H106" s="286"/>
      <c r="I106" s="286"/>
      <c r="L106" s="254">
        <v>2025</v>
      </c>
      <c r="M106" s="1" t="s">
        <v>804</v>
      </c>
      <c r="N106" s="1">
        <f>N104*5</f>
        <v>175000000000</v>
      </c>
      <c r="O106" s="254"/>
    </row>
    <row r="107" spans="3:19" ht="13.2">
      <c r="L107" s="254">
        <v>2026</v>
      </c>
      <c r="M107" s="1" t="s">
        <v>805</v>
      </c>
      <c r="N107" s="1">
        <f>6*N104</f>
        <v>210000000000</v>
      </c>
    </row>
    <row r="108" spans="3:19" ht="13.2">
      <c r="C108" s="1"/>
      <c r="E108" s="27"/>
      <c r="F108" s="25"/>
      <c r="G108" s="25"/>
      <c r="H108" s="38"/>
      <c r="L108" s="254">
        <v>2027</v>
      </c>
      <c r="M108" s="1" t="s">
        <v>806</v>
      </c>
      <c r="N108" s="1">
        <f>6*N104</f>
        <v>210000000000</v>
      </c>
    </row>
    <row r="109" spans="3:19" ht="13.2">
      <c r="F109" s="25"/>
      <c r="G109" s="25"/>
      <c r="H109" s="38"/>
    </row>
    <row r="110" spans="3:19" ht="15">
      <c r="R110" s="236"/>
    </row>
    <row r="111" spans="3:19" ht="15">
      <c r="R111" s="236"/>
    </row>
    <row r="112" spans="3:19" ht="15">
      <c r="S112" s="287"/>
    </row>
    <row r="113" spans="19:20" ht="15">
      <c r="S113" s="237"/>
    </row>
    <row r="116" spans="19:20" ht="15">
      <c r="S116" s="237"/>
    </row>
    <row r="117" spans="19:20" ht="15">
      <c r="S117" s="237"/>
    </row>
    <row r="120" spans="19:20" ht="13.2">
      <c r="S120" s="180"/>
    </row>
    <row r="121" spans="19:20" ht="15">
      <c r="S121" s="236"/>
    </row>
    <row r="122" spans="19:20" ht="15">
      <c r="S122" s="236"/>
    </row>
    <row r="123" spans="19:20" ht="15">
      <c r="S123" s="237"/>
      <c r="T123" s="47"/>
    </row>
    <row r="129" spans="2:16" ht="15.6">
      <c r="B129" s="88"/>
      <c r="C129" s="88"/>
      <c r="D129" s="88"/>
      <c r="E129" s="88"/>
      <c r="F129" s="88"/>
      <c r="G129" s="88"/>
      <c r="H129" s="88"/>
      <c r="I129" s="88"/>
      <c r="J129" s="88"/>
      <c r="K129" s="88"/>
      <c r="L129" s="88"/>
      <c r="M129" s="88"/>
      <c r="N129" s="88"/>
      <c r="O129" s="88"/>
      <c r="P129" s="88"/>
    </row>
    <row r="130" spans="2:16" ht="15.6">
      <c r="B130" s="88"/>
      <c r="C130" s="88"/>
      <c r="D130" s="88"/>
      <c r="E130" s="88"/>
      <c r="F130" s="88"/>
      <c r="G130" s="88"/>
      <c r="H130" s="88"/>
      <c r="I130" s="88"/>
      <c r="J130" s="88"/>
      <c r="K130" s="88"/>
      <c r="L130" s="88"/>
      <c r="M130" s="88"/>
      <c r="N130" s="88"/>
      <c r="O130" s="88"/>
      <c r="P130" s="88"/>
    </row>
    <row r="131" spans="2:16" ht="15.6">
      <c r="B131" s="88"/>
      <c r="C131" s="88"/>
      <c r="D131" s="88"/>
      <c r="E131" s="88"/>
      <c r="F131" s="88"/>
      <c r="G131" s="88"/>
      <c r="H131" s="88"/>
      <c r="I131" s="88"/>
      <c r="J131" s="88"/>
      <c r="K131" s="88"/>
      <c r="L131" s="88"/>
      <c r="M131" s="88"/>
      <c r="N131" s="88"/>
      <c r="O131" s="88"/>
      <c r="P131" s="88"/>
    </row>
    <row r="132" spans="2:16" ht="15.6">
      <c r="B132" s="88"/>
      <c r="C132" s="88"/>
      <c r="D132" s="88"/>
      <c r="E132" s="88"/>
      <c r="F132" s="88"/>
      <c r="G132" s="88"/>
      <c r="H132" s="88"/>
      <c r="I132" s="88"/>
      <c r="J132" s="88"/>
      <c r="K132" s="88"/>
      <c r="L132" s="88"/>
      <c r="M132" s="88"/>
      <c r="N132" s="88"/>
      <c r="O132" s="88"/>
      <c r="P132" s="88"/>
    </row>
    <row r="133" spans="2:16" ht="15.6">
      <c r="B133" s="88"/>
      <c r="C133" s="88"/>
      <c r="D133" s="88"/>
      <c r="E133" s="88"/>
      <c r="F133" s="88"/>
      <c r="G133" s="88"/>
      <c r="H133" s="88"/>
      <c r="I133" s="88"/>
      <c r="J133" s="88"/>
      <c r="K133" s="88"/>
      <c r="L133" s="88"/>
      <c r="M133" s="88"/>
      <c r="N133" s="88"/>
      <c r="O133" s="88"/>
      <c r="P133" s="88"/>
    </row>
    <row r="134" spans="2:16" ht="15.6">
      <c r="B134" s="88"/>
      <c r="C134" s="88"/>
      <c r="D134" s="88"/>
      <c r="E134" s="88"/>
      <c r="F134" s="88"/>
      <c r="G134" s="88"/>
      <c r="H134" s="88"/>
      <c r="I134" s="88"/>
      <c r="J134" s="88"/>
      <c r="K134" s="88"/>
      <c r="L134" s="88"/>
      <c r="M134" s="88"/>
      <c r="N134" s="88"/>
      <c r="O134" s="88"/>
      <c r="P134" s="88"/>
    </row>
    <row r="135" spans="2:16" ht="15.6">
      <c r="B135" s="88"/>
      <c r="C135" s="88"/>
      <c r="D135" s="88"/>
      <c r="E135" s="88"/>
      <c r="F135" s="88"/>
      <c r="G135" s="88"/>
      <c r="H135" s="88"/>
      <c r="I135" s="88"/>
      <c r="J135" s="88"/>
      <c r="K135" s="88"/>
      <c r="L135" s="88"/>
      <c r="M135" s="88"/>
      <c r="N135" s="88"/>
      <c r="O135" s="88"/>
      <c r="P135" s="88"/>
    </row>
  </sheetData>
  <mergeCells count="4">
    <mergeCell ref="T6:T7"/>
    <mergeCell ref="S8:S9"/>
    <mergeCell ref="T8:T9"/>
    <mergeCell ref="I44:J44"/>
  </mergeCells>
  <phoneticPr fontId="69" type="noConversion"/>
  <dataValidations count="1">
    <dataValidation type="custom" allowBlank="1" showDropDown="1" sqref="L5:N8" xr:uid="{00000000-0002-0000-0800-000000000000}">
      <formula1>AND(ISNUMBER(L5),(NOT(OR(NOT(ISERROR(DATEVALUE(L5))), AND(ISNUMBER(L5), LEFT(CELL("format", L5))="D")))))</formula1>
    </dataValidation>
  </dataValidations>
  <hyperlinks>
    <hyperlink ref="F56" r:id="rId1" xr:uid="{00000000-0004-0000-0800-000000000000}"/>
    <hyperlink ref="F57" r:id="rId2" xr:uid="{00000000-0004-0000-0800-000001000000}"/>
    <hyperlink ref="F58" r:id="rId3" xr:uid="{00000000-0004-0000-0800-000002000000}"/>
    <hyperlink ref="F59" r:id="rId4" xr:uid="{00000000-0004-0000-0800-000003000000}"/>
    <hyperlink ref="G59" r:id="rId5" xr:uid="{00000000-0004-0000-0800-000004000000}"/>
    <hyperlink ref="F60" r:id="rId6" xr:uid="{00000000-0004-0000-0800-000005000000}"/>
    <hyperlink ref="F61" r:id="rId7" xr:uid="{00000000-0004-0000-0800-000006000000}"/>
    <hyperlink ref="F62" r:id="rId8" xr:uid="{00000000-0004-0000-0800-000007000000}"/>
    <hyperlink ref="F64" r:id="rId9" xr:uid="{00000000-0004-0000-0800-000008000000}"/>
  </hyperlinks>
  <pageMargins left="0.7" right="0.7" top="0.75" bottom="0.75" header="0.3" footer="0.3"/>
  <legacyDrawing r:id="rId10"/>
  <tableParts count="1">
    <tablePart r:id="rId1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15</vt:i4>
      </vt:variant>
    </vt:vector>
  </HeadingPairs>
  <TitlesOfParts>
    <vt:vector size="15" baseType="lpstr">
      <vt:lpstr>재무상태표</vt:lpstr>
      <vt:lpstr>포괄손익계산서</vt:lpstr>
      <vt:lpstr>현금흐름표</vt:lpstr>
      <vt:lpstr>FCFE</vt:lpstr>
      <vt:lpstr>To-do List</vt:lpstr>
      <vt:lpstr>밸류체인 밑그림 + 메자닌 리포트 방향성</vt:lpstr>
      <vt:lpstr>피드백</vt:lpstr>
      <vt:lpstr>비용파트</vt:lpstr>
      <vt:lpstr>매출액 추정</vt:lpstr>
      <vt:lpstr>3년치 수주 계약</vt:lpstr>
      <vt:lpstr>진행률 자료(사용x)</vt:lpstr>
      <vt:lpstr>동종기업 2025 수주표</vt:lpstr>
      <vt:lpstr>차트1 선종별 매출액 대비 주요 항목 비중 비교</vt:lpstr>
      <vt:lpstr>멀티플</vt:lpstr>
      <vt:lpstr>차트1 2025년 세계 조선업계 선박 수주 점유율 (CG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희연 김</cp:lastModifiedBy>
  <dcterms:modified xsi:type="dcterms:W3CDTF">2026-02-02T17:11:21Z</dcterms:modified>
</cp:coreProperties>
</file>